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donV\Documents\cotizadores nuevos\"/>
    </mc:Choice>
  </mc:AlternateContent>
  <xr:revisionPtr revIDLastSave="0" documentId="13_ncr:1_{DEBB9BA1-C537-4FC8-8CA3-DCAE232BC1D0}" xr6:coauthVersionLast="47" xr6:coauthVersionMax="47" xr10:uidLastSave="{00000000-0000-0000-0000-000000000000}"/>
  <workbookProtection workbookAlgorithmName="SHA-512" workbookHashValue="fvE/3+VpKaT+1f80wzmmfZWIkEvIxXERTfAVzhNWJFkhMt9kKTo0se4lKuydZ0qxXHL7PLAw42nFFnNjwNAi7A==" workbookSaltValue="ECwl68W8DXuPew56AFzZyw==" workbookSpinCount="100000" lockStructure="1"/>
  <bookViews>
    <workbookView xWindow="-108" yWindow="-108" windowWidth="23256" windowHeight="12456" tabRatio="875" firstSheet="1" activeTab="1" xr2:uid="{03A3F7DE-E7CC-47A5-83DF-5E6EDE2A3F5A}"/>
  </bookViews>
  <sheets>
    <sheet name="COTIZADOR PLANILLERO" sheetId="2" state="hidden" r:id="rId1"/>
    <sheet name="COTIZADOR CON CONVENIO" sheetId="9" r:id="rId2"/>
    <sheet name="NIVEL DE ENDEUDAMIENTO" sheetId="4" r:id="rId3"/>
    <sheet name="Hoja1" sheetId="14" state="hidden" r:id="rId4"/>
    <sheet name="RCI" sheetId="13" state="hidden" r:id="rId5"/>
    <sheet name="COTIZADOR VEHÍCULOS" sheetId="3" state="hidden" r:id="rId6"/>
  </sheets>
  <definedNames>
    <definedName name="COMERCIANTE">#REF!</definedName>
    <definedName name="COMERCIANTE_INDIVIDUAL">#REF!</definedName>
    <definedName name="OTRO_RENGLON">'COTIZADOR PLANILLERO'!$I$37:$I$39</definedName>
    <definedName name="RELACIÓN_DE_DEPENDENCIA">#REF!</definedName>
    <definedName name="RENGLON_011_INICIATIVA_PRIVADA">'COTIZADOR PLANILLERO'!$I$27:$I$29</definedName>
    <definedName name="RENGLON_021_022">'COTIZADOR PLANILLERO'!$I$32:$I$34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9" l="1"/>
  <c r="C11" i="9" s="1"/>
  <c r="I9" i="13" s="1"/>
  <c r="K9" i="13" s="1"/>
  <c r="K12" i="13" s="1"/>
  <c r="C7" i="13"/>
  <c r="C18" i="13" s="1"/>
  <c r="E12" i="4"/>
  <c r="C6" i="13"/>
  <c r="C17" i="13" s="1"/>
  <c r="D20" i="9"/>
  <c r="D21" i="9" s="1"/>
  <c r="K10" i="13"/>
  <c r="J10" i="13"/>
  <c r="I10" i="13"/>
  <c r="I12" i="13" l="1"/>
  <c r="C12" i="13"/>
  <c r="C13" i="13"/>
  <c r="J9" i="13"/>
  <c r="J12" i="13" s="1"/>
  <c r="E18" i="4" l="1"/>
  <c r="D6" i="4" s="1"/>
  <c r="D24" i="9"/>
  <c r="D25" i="9" s="1"/>
  <c r="D18" i="9"/>
  <c r="D19" i="9" s="1"/>
  <c r="C7" i="4" l="1"/>
  <c r="D27" i="9" s="1"/>
  <c r="D28" i="9" s="1"/>
  <c r="D29" i="9" s="1"/>
  <c r="D35" i="9" l="1"/>
  <c r="H5" i="13"/>
  <c r="J5" i="13" l="1"/>
  <c r="J6" i="13" s="1"/>
  <c r="K5" i="13"/>
  <c r="K6" i="13" s="1"/>
  <c r="K7" i="13" s="1"/>
  <c r="I5" i="13"/>
  <c r="I6" i="13" s="1"/>
  <c r="I7" i="13" s="1"/>
  <c r="I11" i="13" s="1"/>
  <c r="J7" i="13" l="1"/>
  <c r="J11" i="13" s="1"/>
  <c r="J14" i="13" s="1"/>
  <c r="J13" i="13" s="1"/>
  <c r="K11" i="13"/>
  <c r="K14" i="13" s="1"/>
  <c r="K13" i="13" s="1"/>
  <c r="C16" i="13" l="1"/>
  <c r="C19" i="13" s="1"/>
  <c r="F21" i="13" s="1"/>
  <c r="C11" i="13"/>
  <c r="C14" i="13" s="1"/>
  <c r="F20" i="13" s="1"/>
  <c r="I14" i="13"/>
  <c r="I13" i="13" s="1"/>
  <c r="C5" i="13" l="1"/>
  <c r="C8" i="13" s="1"/>
  <c r="C1" i="13" l="1"/>
  <c r="E30" i="9" s="1"/>
  <c r="D30" i="9" s="1"/>
  <c r="D37" i="9" s="1"/>
  <c r="F19" i="13"/>
  <c r="E31" i="9" l="1" a="1"/>
  <c r="E31" i="9" s="1"/>
  <c r="D32" i="9"/>
  <c r="D33" i="9" s="1"/>
  <c r="D31" i="9"/>
  <c r="F9" i="9" s="1"/>
  <c r="D9" i="9" s="1"/>
  <c r="D36" i="9" l="1"/>
  <c r="D38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<sst xmlns="http://schemas.openxmlformats.org/spreadsheetml/2006/main" count="303" uniqueCount="114">
  <si>
    <t>RCI</t>
  </si>
  <si>
    <t>Estabilidad y/o Continuidad Laboral</t>
  </si>
  <si>
    <t>LTV</t>
  </si>
  <si>
    <t>A</t>
  </si>
  <si>
    <t>B</t>
  </si>
  <si>
    <t>C</t>
  </si>
  <si>
    <t>Clasificación</t>
  </si>
  <si>
    <t>Puntos asignados</t>
  </si>
  <si>
    <r>
      <rPr>
        <b/>
        <sz val="10"/>
        <color theme="1"/>
        <rFont val="Calibri"/>
        <family val="2"/>
      </rPr>
      <t>Bajo</t>
    </r>
    <r>
      <rPr>
        <sz val="10"/>
        <color theme="1"/>
        <rFont val="Calibri"/>
        <family val="2"/>
      </rPr>
      <t xml:space="preserve"> &lt;= al 30%</t>
    </r>
  </si>
  <si>
    <r>
      <rPr>
        <b/>
        <sz val="10"/>
        <color theme="1"/>
        <rFont val="Calibri"/>
        <family val="2"/>
      </rPr>
      <t>Medio</t>
    </r>
    <r>
      <rPr>
        <sz val="10"/>
        <color theme="1"/>
        <rFont val="Calibri"/>
        <family val="2"/>
      </rPr>
      <t xml:space="preserve"> &gt; al 30% y &lt; al 36%</t>
    </r>
  </si>
  <si>
    <r>
      <rPr>
        <b/>
        <sz val="10"/>
        <color theme="1"/>
        <rFont val="Calibri"/>
        <family val="2"/>
      </rPr>
      <t>Alto</t>
    </r>
    <r>
      <rPr>
        <sz val="10"/>
        <color theme="1"/>
        <rFont val="Calibri"/>
        <family val="2"/>
      </rPr>
      <t xml:space="preserve"> &gt;= al 36%</t>
    </r>
  </si>
  <si>
    <t>&gt;= 3 años</t>
  </si>
  <si>
    <t>&gt; 2 años &lt; 3 años</t>
  </si>
  <si>
    <t>&gt; 1 año &lt;= 2 años</t>
  </si>
  <si>
    <t>Decrece</t>
  </si>
  <si>
    <t>Puntos acumulados</t>
  </si>
  <si>
    <t>TASA HIPOTECARIA</t>
  </si>
  <si>
    <t>Calificación Según Parámetros de Evaluación</t>
  </si>
  <si>
    <t>Perdida Esperada</t>
  </si>
  <si>
    <t>Tasa Calculada</t>
  </si>
  <si>
    <t>Tasa Asignada</t>
  </si>
  <si>
    <t>10 - 9 Puntos</t>
  </si>
  <si>
    <t>8 Puntos</t>
  </si>
  <si>
    <t>7 Puntos</t>
  </si>
  <si>
    <t>6 Puntos</t>
  </si>
  <si>
    <t>5 Puntos</t>
  </si>
  <si>
    <t>4 Puntos</t>
  </si>
  <si>
    <t>2 Puntos</t>
  </si>
  <si>
    <t>0 Puntos</t>
  </si>
  <si>
    <t>VARIABLES 
PLANILLERO</t>
  </si>
  <si>
    <t>Tipo de Contratación</t>
  </si>
  <si>
    <t>Renglón 011 - Iniciativa Privada</t>
  </si>
  <si>
    <t>Renglón 021/022</t>
  </si>
  <si>
    <t>Otro Renglón y/o Servicios</t>
  </si>
  <si>
    <t>Tipo de Deuda a Consolidar</t>
  </si>
  <si>
    <t>Consumo Otros Bancos / Libre Disponibilidad</t>
  </si>
  <si>
    <t>Consumo Bantrab</t>
  </si>
  <si>
    <t>Tarjeta de Crédito</t>
  </si>
  <si>
    <r>
      <t xml:space="preserve">Comportamiento Nivel de Endeudamiento </t>
    </r>
    <r>
      <rPr>
        <i/>
        <sz val="9"/>
        <rFont val="Calibri"/>
        <family val="2"/>
      </rPr>
      <t>(deudas de Consumo)</t>
    </r>
    <r>
      <rPr>
        <b/>
        <sz val="10"/>
        <rFont val="Calibri"/>
        <family val="2"/>
      </rPr>
      <t xml:space="preserve"> en el último año</t>
    </r>
  </si>
  <si>
    <r>
      <t xml:space="preserve">Se mantiene
 </t>
    </r>
    <r>
      <rPr>
        <i/>
        <sz val="10"/>
        <color theme="1"/>
        <rFont val="Calibri"/>
        <family val="2"/>
      </rPr>
      <t>(+ un ingreso)</t>
    </r>
  </si>
  <si>
    <r>
      <t xml:space="preserve">Crece
</t>
    </r>
    <r>
      <rPr>
        <i/>
        <sz val="10"/>
        <color theme="1"/>
        <rFont val="Calibri"/>
        <family val="2"/>
      </rPr>
      <t xml:space="preserve"> (máximo 10  ingresos*)</t>
    </r>
  </si>
  <si>
    <t>Estabilidad Laboral</t>
  </si>
  <si>
    <t>&gt;= 2 años</t>
  </si>
  <si>
    <t>&gt; 1 año &lt; 2 años</t>
  </si>
  <si>
    <t>&gt;= 6 meses &lt;= 1 año</t>
  </si>
  <si>
    <t>&gt;= 4 años</t>
  </si>
  <si>
    <t>&gt; 3 años &lt; 4 años</t>
  </si>
  <si>
    <t>&gt; 2 años &lt;= 3 años</t>
  </si>
  <si>
    <t>VARIABLES 
VEHÍCULOS</t>
  </si>
  <si>
    <t>Enganche</t>
  </si>
  <si>
    <t>&gt;= 12%  y &lt;20%</t>
  </si>
  <si>
    <t>0%  y &lt;12%</t>
  </si>
  <si>
    <t>Comportamiento del Nivel de Endeudamiento 
(deudas de Consumo) en el último año</t>
  </si>
  <si>
    <t xml:space="preserve">Seguro de Vehículo </t>
  </si>
  <si>
    <t>Aseguradora CHN</t>
  </si>
  <si>
    <t>Otra Aseguradora</t>
  </si>
  <si>
    <t>RENGLON_021_022</t>
  </si>
  <si>
    <t>OTRO_RENGLON</t>
  </si>
  <si>
    <t>RENGLON_011_INICIATIVA_PRIVADA</t>
  </si>
  <si>
    <t>&gt;= 20% en adelante</t>
  </si>
  <si>
    <t>CÁLCULO DEL COMPORTAMIENTO DEL NIVEL DE ENDEUDAMIENTO</t>
  </si>
  <si>
    <t>Ingreso del Cliente</t>
  </si>
  <si>
    <t>Incremento de deuda con relación al ingreso</t>
  </si>
  <si>
    <t>Total de Endeudamiento Ultimo Mes</t>
  </si>
  <si>
    <t>Total de Endeudamiento Mes 12</t>
  </si>
  <si>
    <t>Resultado de Comportamiento de la Deuda</t>
  </si>
  <si>
    <t>Saldos al día</t>
  </si>
  <si>
    <t>Suma de Créditos de Vehículos</t>
  </si>
  <si>
    <t>Suma de Créditos de Vivienda</t>
  </si>
  <si>
    <t>Suma de Créditos Empresariales</t>
  </si>
  <si>
    <t>Suma de Créditos Productivos</t>
  </si>
  <si>
    <t>Incremento del Nivel de Endeudamiento</t>
  </si>
  <si>
    <t>PASOS A SEGUIR:</t>
  </si>
  <si>
    <t>1. Solicitar el ingreso al cliente</t>
  </si>
  <si>
    <t>2. Ingresar los montos de la deuda del último año (Mes 1 y  Mes 12) según PRECREDIT.</t>
  </si>
  <si>
    <t>3. Consultar si en el ultimo año ha adquirido un préstamos de vehículos, vivienda o empresarial y productivo (sumar todos los saldos e ingresar el dato).</t>
  </si>
  <si>
    <t>Tolerancia RCI</t>
  </si>
  <si>
    <t>Tolerancia Estabilidad laboral</t>
  </si>
  <si>
    <t>Se mantiene</t>
  </si>
  <si>
    <t>Crece</t>
  </si>
  <si>
    <t>Nivel de endeudamiento</t>
  </si>
  <si>
    <t>SÍ</t>
  </si>
  <si>
    <t>NO</t>
  </si>
  <si>
    <t>Fecha de ingreso:</t>
  </si>
  <si>
    <t>Tasa Precredit</t>
  </si>
  <si>
    <t>Tasa Cliente</t>
  </si>
  <si>
    <t>Comerciante individual</t>
  </si>
  <si>
    <t>Relación de dependencia</t>
  </si>
  <si>
    <t>Status RCI</t>
  </si>
  <si>
    <t>Comportamiento Nivel de Endeudamiento en el último año</t>
  </si>
  <si>
    <t>Monto solicitado</t>
  </si>
  <si>
    <t>Tipo de contratación</t>
  </si>
  <si>
    <t>Tipo de deuda a Consolidar</t>
  </si>
  <si>
    <t>Plazo en meses</t>
  </si>
  <si>
    <t>Monto</t>
  </si>
  <si>
    <t>Fecha</t>
  </si>
  <si>
    <t>OTRAS DEUDAS</t>
  </si>
  <si>
    <t>INGRESO</t>
  </si>
  <si>
    <t>PUNTOS</t>
  </si>
  <si>
    <t>TASAS</t>
  </si>
  <si>
    <t>TASA QUE CORRESPONDE</t>
  </si>
  <si>
    <t>TABLA DE PUNTOS</t>
  </si>
  <si>
    <t>PUNTOS ACUMULADOS DE 4 VARABLES</t>
  </si>
  <si>
    <t>RCI 2</t>
  </si>
  <si>
    <t>RCI 3</t>
  </si>
  <si>
    <t>RCI 1</t>
  </si>
  <si>
    <t>Total del Crédito</t>
  </si>
  <si>
    <t>Gastos Administrativos</t>
  </si>
  <si>
    <t>CUOTA DEL MONTO SOLICITADO</t>
  </si>
  <si>
    <t>Cálculo del RCI</t>
  </si>
  <si>
    <t>Cuotas de Otras Deudas</t>
  </si>
  <si>
    <t>4. De acuerdo a los datos que ingreses,  te dará el resultado que se asignará en el cálculo de tasa de interes en el cotizador.</t>
  </si>
  <si>
    <r>
      <t>Cuota</t>
    </r>
    <r>
      <rPr>
        <b/>
        <sz val="10"/>
        <color rgb="FF00B0F0"/>
        <rFont val="Calibri"/>
        <family val="2"/>
        <scheme val="minor"/>
      </rPr>
      <t>*incluye seguro</t>
    </r>
  </si>
  <si>
    <t>CRÉDITOS CON CONVENIO AUTORIDADES CONTACTOS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</si>
</sst>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3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</font>
    <font>
      <i/>
      <sz val="10"/>
      <color theme="1"/>
      <name val="Calibri"/>
      <family val="2"/>
    </font>
    <font>
      <b/>
      <i/>
      <sz val="10"/>
      <color theme="0"/>
      <name val="Calibri"/>
      <family val="2"/>
    </font>
    <font>
      <i/>
      <sz val="10"/>
      <color theme="0"/>
      <name val="Calibri"/>
      <family val="2"/>
    </font>
    <font>
      <b/>
      <sz val="10"/>
      <name val="Calibri"/>
      <family val="2"/>
    </font>
    <font>
      <i/>
      <sz val="9"/>
      <name val="Calibri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Red Hat Display"/>
    </font>
    <font>
      <sz val="12"/>
      <color theme="1"/>
      <name val="Red Hat Display"/>
    </font>
    <font>
      <b/>
      <sz val="12"/>
      <color theme="1"/>
      <name val="Red Hat Display"/>
    </font>
    <font>
      <b/>
      <sz val="10"/>
      <color theme="1"/>
      <name val="Red Hat Display"/>
    </font>
    <font>
      <b/>
      <sz val="9"/>
      <color theme="1"/>
      <name val="Red Hat Display"/>
    </font>
    <font>
      <b/>
      <u val="singleAccounting"/>
      <sz val="12"/>
      <color theme="1"/>
      <name val="Red Hat Display"/>
    </font>
    <font>
      <sz val="14"/>
      <color theme="1"/>
      <name val="Red Hat Display"/>
    </font>
    <font>
      <sz val="14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rgb="FF00B0F0"/>
      <name val="Calibri"/>
      <family val="2"/>
      <scheme val="minor"/>
    </font>
    <font>
      <b/>
      <sz val="28"/>
      <color rgb="FF0070C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4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0"/>
      <color rgb="FF00B0F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3" borderId="7" xfId="0" applyFont="1" applyFill="1" applyBorder="1" applyAlignment="1">
      <alignment horizontal="center" vertical="center" wrapText="1"/>
    </xf>
    <xf numFmtId="16" fontId="3" fillId="4" borderId="8" xfId="0" applyNumberFormat="1" applyFont="1" applyFill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10" fontId="2" fillId="4" borderId="8" xfId="0" applyNumberFormat="1" applyFont="1" applyFill="1" applyBorder="1" applyAlignment="1">
      <alignment horizontal="center" vertical="center"/>
    </xf>
    <xf numFmtId="10" fontId="2" fillId="0" borderId="8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horizontal="center" vertical="center"/>
    </xf>
    <xf numFmtId="10" fontId="2" fillId="4" borderId="9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0" fontId="9" fillId="3" borderId="9" xfId="0" applyNumberFormat="1" applyFont="1" applyFill="1" applyBorder="1" applyAlignment="1">
      <alignment horizontal="center" vertical="center"/>
    </xf>
    <xf numFmtId="10" fontId="10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27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44" fontId="16" fillId="0" borderId="0" xfId="1" applyFont="1" applyAlignment="1" applyProtection="1">
      <alignment vertical="center"/>
      <protection locked="0"/>
    </xf>
    <xf numFmtId="9" fontId="16" fillId="0" borderId="0" xfId="2" applyFont="1" applyAlignment="1" applyProtection="1">
      <alignment vertical="center"/>
      <protection locked="0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8" fontId="16" fillId="0" borderId="0" xfId="0" applyNumberFormat="1" applyFont="1" applyAlignment="1" applyProtection="1">
      <alignment vertical="center"/>
      <protection locked="0"/>
    </xf>
    <xf numFmtId="8" fontId="17" fillId="0" borderId="0" xfId="0" applyNumberFormat="1" applyFont="1" applyAlignment="1" applyProtection="1">
      <alignment horizontal="center" vertical="center"/>
      <protection locked="0"/>
    </xf>
    <xf numFmtId="44" fontId="16" fillId="2" borderId="0" xfId="1" applyFont="1" applyFill="1" applyBorder="1" applyAlignment="1" applyProtection="1">
      <alignment vertical="center"/>
      <protection locked="0"/>
    </xf>
    <xf numFmtId="14" fontId="19" fillId="0" borderId="28" xfId="0" applyNumberFormat="1" applyFont="1" applyBorder="1" applyAlignment="1">
      <alignment horizontal="center"/>
    </xf>
    <xf numFmtId="9" fontId="16" fillId="0" borderId="0" xfId="0" applyNumberFormat="1" applyFont="1" applyAlignment="1" applyProtection="1">
      <alignment horizontal="center" vertical="center"/>
      <protection locked="0"/>
    </xf>
    <xf numFmtId="44" fontId="20" fillId="6" borderId="30" xfId="0" applyNumberFormat="1" applyFont="1" applyFill="1" applyBorder="1" applyAlignment="1">
      <alignment vertical="center"/>
    </xf>
    <xf numFmtId="44" fontId="16" fillId="0" borderId="0" xfId="0" applyNumberFormat="1" applyFont="1" applyAlignment="1" applyProtection="1">
      <alignment vertical="center"/>
      <protection locked="0"/>
    </xf>
    <xf numFmtId="44" fontId="20" fillId="6" borderId="0" xfId="0" applyNumberFormat="1" applyFont="1" applyFill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5" fillId="0" borderId="0" xfId="0" applyFont="1"/>
    <xf numFmtId="0" fontId="21" fillId="0" borderId="0" xfId="0" applyFont="1" applyAlignment="1" applyProtection="1">
      <alignment vertical="center"/>
      <protection locked="0"/>
    </xf>
    <xf numFmtId="10" fontId="16" fillId="0" borderId="0" xfId="2" applyNumberFormat="1" applyFont="1" applyAlignment="1" applyProtection="1">
      <alignment vertical="center"/>
      <protection locked="0"/>
    </xf>
    <xf numFmtId="10" fontId="0" fillId="0" borderId="0" xfId="0" applyNumberFormat="1"/>
    <xf numFmtId="4" fontId="0" fillId="0" borderId="0" xfId="0" applyNumberFormat="1"/>
    <xf numFmtId="0" fontId="4" fillId="0" borderId="19" xfId="0" applyFont="1" applyBorder="1" applyAlignment="1">
      <alignment horizontal="left" vertical="center"/>
    </xf>
    <xf numFmtId="8" fontId="0" fillId="0" borderId="0" xfId="0" applyNumberFormat="1"/>
    <xf numFmtId="0" fontId="4" fillId="0" borderId="20" xfId="0" applyFont="1" applyBorder="1" applyAlignment="1">
      <alignment horizontal="left" vertical="center"/>
    </xf>
    <xf numFmtId="44" fontId="1" fillId="0" borderId="0" xfId="1" applyFont="1" applyAlignment="1" applyProtection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9" fontId="13" fillId="0" borderId="0" xfId="2" applyFont="1" applyFill="1" applyBorder="1" applyAlignment="1" applyProtection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29" fillId="8" borderId="0" xfId="0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 indent="1"/>
    </xf>
    <xf numFmtId="0" fontId="1" fillId="8" borderId="0" xfId="0" applyFont="1" applyFill="1" applyAlignment="1">
      <alignment horizontal="left" vertical="center" indent="1"/>
    </xf>
    <xf numFmtId="14" fontId="18" fillId="2" borderId="0" xfId="0" applyNumberFormat="1" applyFont="1" applyFill="1" applyAlignment="1" applyProtection="1">
      <alignment horizontal="center" vertical="center"/>
      <protection locked="0"/>
    </xf>
    <xf numFmtId="0" fontId="6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3" fillId="0" borderId="10" xfId="0" applyFont="1" applyBorder="1" applyAlignment="1">
      <alignment horizontal="center" vertical="center"/>
    </xf>
    <xf numFmtId="10" fontId="28" fillId="0" borderId="0" xfId="0" applyNumberFormat="1" applyFont="1" applyAlignment="1">
      <alignment horizontal="center" vertical="center"/>
    </xf>
    <xf numFmtId="8" fontId="28" fillId="0" borderId="0" xfId="0" applyNumberFormat="1" applyFont="1" applyAlignment="1">
      <alignment horizontal="center" vertical="center"/>
    </xf>
    <xf numFmtId="44" fontId="0" fillId="0" borderId="0" xfId="1" applyFont="1"/>
    <xf numFmtId="0" fontId="15" fillId="8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13" borderId="13" xfId="0" applyFont="1" applyFill="1" applyBorder="1" applyAlignment="1">
      <alignment horizontal="center" vertical="center"/>
    </xf>
    <xf numFmtId="0" fontId="32" fillId="13" borderId="15" xfId="0" applyFont="1" applyFill="1" applyBorder="1" applyAlignment="1">
      <alignment horizontal="center" vertical="center"/>
    </xf>
    <xf numFmtId="8" fontId="32" fillId="0" borderId="0" xfId="0" applyNumberFormat="1" applyFont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2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13" fillId="2" borderId="0" xfId="2" applyNumberFormat="1" applyFont="1" applyFill="1" applyBorder="1" applyAlignment="1" applyProtection="1">
      <alignment horizontal="center" vertical="center"/>
      <protection locked="0"/>
    </xf>
    <xf numFmtId="8" fontId="3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0" fontId="34" fillId="0" borderId="0" xfId="0" applyNumberFormat="1" applyFont="1" applyAlignment="1">
      <alignment horizontal="center" vertical="center"/>
    </xf>
    <xf numFmtId="10" fontId="13" fillId="0" borderId="0" xfId="2" applyNumberFormat="1" applyFont="1" applyFill="1" applyBorder="1" applyAlignment="1" applyProtection="1">
      <alignment horizontal="center" vertical="center"/>
    </xf>
    <xf numFmtId="10" fontId="0" fillId="0" borderId="0" xfId="2" applyNumberFormat="1" applyFont="1"/>
    <xf numFmtId="10" fontId="0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8" fontId="0" fillId="0" borderId="0" xfId="1" applyNumberFormat="1" applyFont="1" applyAlignment="1">
      <alignment vertical="center"/>
    </xf>
    <xf numFmtId="44" fontId="0" fillId="0" borderId="0" xfId="1" applyFont="1" applyAlignment="1">
      <alignment vertical="center"/>
    </xf>
    <xf numFmtId="0" fontId="0" fillId="0" borderId="16" xfId="0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10" fontId="32" fillId="0" borderId="0" xfId="2" applyNumberFormat="1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8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2" fontId="1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 applyProtection="1">
      <alignment horizontal="center" vertical="center"/>
      <protection locked="0"/>
    </xf>
    <xf numFmtId="10" fontId="0" fillId="0" borderId="4" xfId="2" applyNumberFormat="1" applyFont="1" applyBorder="1" applyAlignment="1">
      <alignment horizontal="center" vertical="center"/>
    </xf>
    <xf numFmtId="10" fontId="0" fillId="0" borderId="5" xfId="2" applyNumberFormat="1" applyFont="1" applyBorder="1" applyAlignment="1">
      <alignment horizontal="center" vertical="center"/>
    </xf>
    <xf numFmtId="10" fontId="0" fillId="0" borderId="6" xfId="2" applyNumberFormat="1" applyFont="1" applyBorder="1" applyAlignment="1">
      <alignment horizontal="center" vertical="center"/>
    </xf>
    <xf numFmtId="9" fontId="13" fillId="14" borderId="0" xfId="0" applyNumberFormat="1" applyFont="1" applyFill="1" applyAlignment="1" applyProtection="1">
      <alignment horizontal="center" vertical="center" wrapText="1"/>
      <protection locked="0"/>
    </xf>
    <xf numFmtId="44" fontId="13" fillId="14" borderId="0" xfId="2" applyNumberFormat="1" applyFont="1" applyFill="1" applyBorder="1" applyAlignment="1" applyProtection="1">
      <alignment horizontal="center" vertical="center"/>
      <protection locked="0"/>
    </xf>
    <xf numFmtId="164" fontId="5" fillId="14" borderId="0" xfId="0" applyNumberFormat="1" applyFont="1" applyFill="1" applyAlignment="1" applyProtection="1">
      <alignment horizontal="center" vertical="center"/>
      <protection locked="0"/>
    </xf>
    <xf numFmtId="14" fontId="5" fillId="14" borderId="0" xfId="0" applyNumberFormat="1" applyFont="1" applyFill="1" applyAlignment="1" applyProtection="1">
      <alignment horizontal="center" vertical="center"/>
      <protection locked="0"/>
    </xf>
    <xf numFmtId="0" fontId="5" fillId="14" borderId="0" xfId="0" applyFont="1" applyFill="1" applyAlignment="1" applyProtection="1">
      <alignment horizontal="center" vertical="center"/>
      <protection locked="0"/>
    </xf>
    <xf numFmtId="10" fontId="0" fillId="0" borderId="0" xfId="2" applyNumberFormat="1" applyFont="1" applyAlignment="1">
      <alignment horizontal="center"/>
    </xf>
    <xf numFmtId="44" fontId="17" fillId="14" borderId="0" xfId="1" applyFont="1" applyFill="1" applyBorder="1" applyAlignment="1" applyProtection="1">
      <alignment horizontal="center" vertical="center"/>
      <protection locked="0"/>
    </xf>
    <xf numFmtId="10" fontId="0" fillId="0" borderId="0" xfId="2" applyNumberFormat="1" applyFont="1" applyAlignment="1">
      <alignment horizontal="center" vertical="center"/>
    </xf>
    <xf numFmtId="0" fontId="13" fillId="15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1" fillId="8" borderId="13" xfId="0" applyFont="1" applyFill="1" applyBorder="1" applyAlignment="1">
      <alignment horizontal="center" vertical="center"/>
    </xf>
    <xf numFmtId="0" fontId="31" fillId="8" borderId="14" xfId="0" applyFont="1" applyFill="1" applyBorder="1" applyAlignment="1">
      <alignment horizontal="center" vertical="center"/>
    </xf>
    <xf numFmtId="0" fontId="31" fillId="8" borderId="15" xfId="0" applyFont="1" applyFill="1" applyBorder="1" applyAlignment="1">
      <alignment horizontal="center" vertical="center"/>
    </xf>
    <xf numFmtId="0" fontId="30" fillId="12" borderId="0" xfId="0" applyFont="1" applyFill="1" applyAlignment="1">
      <alignment horizontal="left" vertical="center" indent="1"/>
    </xf>
    <xf numFmtId="0" fontId="30" fillId="7" borderId="0" xfId="0" applyFont="1" applyFill="1" applyAlignment="1">
      <alignment horizontal="left" vertical="center" indent="1"/>
    </xf>
    <xf numFmtId="0" fontId="29" fillId="10" borderId="0" xfId="0" applyFont="1" applyFill="1" applyAlignment="1">
      <alignment horizontal="left" vertical="center" inden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44" fontId="23" fillId="9" borderId="0" xfId="1" applyFont="1" applyFill="1" applyBorder="1" applyAlignment="1" applyProtection="1">
      <alignment horizontal="center" vertical="center" wrapText="1"/>
    </xf>
    <xf numFmtId="0" fontId="30" fillId="11" borderId="0" xfId="0" applyFont="1" applyFill="1" applyAlignment="1">
      <alignment horizontal="left" vertical="center" indent="1"/>
    </xf>
    <xf numFmtId="0" fontId="29" fillId="8" borderId="0" xfId="0" applyFont="1" applyFill="1" applyAlignment="1">
      <alignment horizontal="left" vertical="center" inden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 indent="6"/>
    </xf>
    <xf numFmtId="0" fontId="16" fillId="0" borderId="26" xfId="0" applyFont="1" applyBorder="1" applyAlignment="1">
      <alignment horizontal="left" vertical="center" wrapText="1" indent="6"/>
    </xf>
    <xf numFmtId="0" fontId="17" fillId="0" borderId="19" xfId="0" applyFont="1" applyBorder="1" applyAlignment="1">
      <alignment horizontal="left" vertical="center" indent="1"/>
    </xf>
    <xf numFmtId="0" fontId="17" fillId="0" borderId="33" xfId="0" applyFont="1" applyBorder="1" applyAlignment="1">
      <alignment horizontal="left" vertical="center" indent="1"/>
    </xf>
    <xf numFmtId="0" fontId="16" fillId="0" borderId="27" xfId="0" applyFont="1" applyBorder="1" applyAlignment="1">
      <alignment horizontal="left" vertical="center" wrapText="1" indent="6"/>
    </xf>
    <xf numFmtId="0" fontId="16" fillId="0" borderId="28" xfId="0" applyFont="1" applyBorder="1" applyAlignment="1">
      <alignment horizontal="left" vertical="center" wrapText="1" indent="6"/>
    </xf>
    <xf numFmtId="0" fontId="15" fillId="3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left" vertical="center" indent="1"/>
    </xf>
    <xf numFmtId="0" fontId="17" fillId="0" borderId="29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 wrapText="1" indent="6"/>
    </xf>
    <xf numFmtId="0" fontId="16" fillId="0" borderId="23" xfId="0" applyFont="1" applyBorder="1" applyAlignment="1">
      <alignment horizontal="left" vertical="center" wrapText="1" indent="6"/>
    </xf>
    <xf numFmtId="0" fontId="32" fillId="14" borderId="13" xfId="0" applyFont="1" applyFill="1" applyBorder="1" applyAlignment="1">
      <alignment horizontal="center" vertical="center"/>
    </xf>
    <xf numFmtId="0" fontId="32" fillId="14" borderId="15" xfId="0" applyFont="1" applyFill="1" applyBorder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7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rgb="FF00B050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157211</xdr:colOff>
      <xdr:row>2</xdr:row>
      <xdr:rowOff>50985</xdr:rowOff>
    </xdr:from>
    <xdr:to>
      <xdr:col>11</xdr:col>
      <xdr:colOff>197336</xdr:colOff>
      <xdr:row>17</xdr:row>
      <xdr:rowOff>17931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99E5A0-936C-41BB-BFD5-1DD8D1C4F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231" y="462465"/>
          <a:ext cx="5183625" cy="4325585"/>
        </a:xfrm>
        <a:prstGeom prst="rect">
          <a:avLst/>
        </a:prstGeom>
      </xdr:spPr>
    </xdr:pic>
    <xdr:clientData/>
  </xdr:twoCellAnchor>
  <xdr:twoCellAnchor>
    <xdr:from>
      <xdr:col>5</xdr:col>
      <xdr:colOff>208878</xdr:colOff>
      <xdr:row>5</xdr:row>
      <xdr:rowOff>144780</xdr:rowOff>
    </xdr:from>
    <xdr:to>
      <xdr:col>7</xdr:col>
      <xdr:colOff>262218</xdr:colOff>
      <xdr:row>9</xdr:row>
      <xdr:rowOff>190500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B56209D8-1BE4-4A61-86CA-C37D8B807FB0}"/>
            </a:ext>
          </a:extLst>
        </xdr:cNvPr>
        <xdr:cNvCxnSpPr/>
      </xdr:nvCxnSpPr>
      <xdr:spPr>
        <a:xfrm flipV="1">
          <a:off x="6564854" y="1265368"/>
          <a:ext cx="1702846" cy="107666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268941</xdr:colOff>
      <xdr:row>10</xdr:row>
      <xdr:rowOff>243840</xdr:rowOff>
    </xdr:from>
    <xdr:to>
      <xdr:col>7</xdr:col>
      <xdr:colOff>215601</xdr:colOff>
      <xdr:row>13</xdr:row>
      <xdr:rowOff>60960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CFB67104-8DEF-44B5-B51B-A9D43B1A515D}"/>
            </a:ext>
          </a:extLst>
        </xdr:cNvPr>
        <xdr:cNvCxnSpPr/>
      </xdr:nvCxnSpPr>
      <xdr:spPr>
        <a:xfrm>
          <a:off x="6624917" y="2843605"/>
          <a:ext cx="1596166" cy="89288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3</xdr:row>
      <xdr:rowOff>190500</xdr:rowOff>
    </xdr:from>
    <xdr:to>
      <xdr:col>4</xdr:col>
      <xdr:colOff>428625</xdr:colOff>
      <xdr:row>5</xdr:row>
      <xdr:rowOff>9525</xdr:rowOff>
    </xdr:to>
    <xdr:sp macro="" textlink="">
      <xdr:nvSpPr>
        <xdr:cNvPr id="5" name="Diagrama de flujo: conector 4">
          <a:extLst>
            <a:ext uri="{FF2B5EF4-FFF2-40B4-BE49-F238E27FC236}">
              <a16:creationId xmlns:a16="http://schemas.microsoft.com/office/drawing/2014/main" id="{DC586B4F-0718-46E1-B300-558BFB7C257F}"/>
            </a:ext>
          </a:extLst>
        </xdr:cNvPr>
        <xdr:cNvSpPr/>
      </xdr:nvSpPr>
      <xdr:spPr>
        <a:xfrm>
          <a:off x="5231130" y="807720"/>
          <a:ext cx="295275" cy="321945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 b="1"/>
            <a:t>1</a:t>
          </a:r>
          <a:endParaRPr lang="es-GT" sz="800" b="1"/>
        </a:p>
      </xdr:txBody>
    </xdr:sp>
    <xdr:clientData/>
  </xdr:twoCellAnchor>
  <xdr:twoCellAnchor>
    <xdr:from>
      <xdr:col>5</xdr:col>
      <xdr:colOff>85725</xdr:colOff>
      <xdr:row>9</xdr:row>
      <xdr:rowOff>285750</xdr:rowOff>
    </xdr:from>
    <xdr:to>
      <xdr:col>5</xdr:col>
      <xdr:colOff>381000</xdr:colOff>
      <xdr:row>10</xdr:row>
      <xdr:rowOff>161925</xdr:rowOff>
    </xdr:to>
    <xdr:sp macro="" textlink="">
      <xdr:nvSpPr>
        <xdr:cNvPr id="6" name="Diagrama de flujo: conector 5">
          <a:extLst>
            <a:ext uri="{FF2B5EF4-FFF2-40B4-BE49-F238E27FC236}">
              <a16:creationId xmlns:a16="http://schemas.microsoft.com/office/drawing/2014/main" id="{1F946EB9-5F22-4855-A623-BB5B67430C16}"/>
            </a:ext>
          </a:extLst>
        </xdr:cNvPr>
        <xdr:cNvSpPr/>
      </xdr:nvSpPr>
      <xdr:spPr>
        <a:xfrm>
          <a:off x="6448425" y="2434590"/>
          <a:ext cx="295275" cy="325755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 b="1"/>
            <a:t>2</a:t>
          </a:r>
          <a:endParaRPr lang="es-GT" sz="800" b="1"/>
        </a:p>
      </xdr:txBody>
    </xdr:sp>
    <xdr:clientData/>
  </xdr:twoCellAnchor>
  <xdr:twoCellAnchor>
    <xdr:from>
      <xdr:col>5</xdr:col>
      <xdr:colOff>95250</xdr:colOff>
      <xdr:row>14</xdr:row>
      <xdr:rowOff>119063</xdr:rowOff>
    </xdr:from>
    <xdr:to>
      <xdr:col>5</xdr:col>
      <xdr:colOff>373063</xdr:colOff>
      <xdr:row>15</xdr:row>
      <xdr:rowOff>166688</xdr:rowOff>
    </xdr:to>
    <xdr:sp macro="" textlink="">
      <xdr:nvSpPr>
        <xdr:cNvPr id="7" name="Diagrama de flujo: conector 6">
          <a:extLst>
            <a:ext uri="{FF2B5EF4-FFF2-40B4-BE49-F238E27FC236}">
              <a16:creationId xmlns:a16="http://schemas.microsoft.com/office/drawing/2014/main" id="{9F997822-78BB-4541-BAEB-D2635FAEB90D}"/>
            </a:ext>
          </a:extLst>
        </xdr:cNvPr>
        <xdr:cNvSpPr/>
      </xdr:nvSpPr>
      <xdr:spPr>
        <a:xfrm>
          <a:off x="6457950" y="4066223"/>
          <a:ext cx="277813" cy="321945"/>
        </a:xfrm>
        <a:prstGeom prst="flowChartConnector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 b="1"/>
            <a:t>3</a:t>
          </a:r>
          <a:endParaRPr lang="es-GT" sz="800" b="1"/>
        </a:p>
      </xdr:txBody>
    </xdr:sp>
    <xdr:clientData/>
  </xdr:twoCellAnchor>
  <xdr:twoCellAnchor>
    <xdr:from>
      <xdr:col>3</xdr:col>
      <xdr:colOff>95250</xdr:colOff>
      <xdr:row>5</xdr:row>
      <xdr:rowOff>285750</xdr:rowOff>
    </xdr:from>
    <xdr:to>
      <xdr:col>3</xdr:col>
      <xdr:colOff>390525</xdr:colOff>
      <xdr:row>6</xdr:row>
      <xdr:rowOff>314325</xdr:rowOff>
    </xdr:to>
    <xdr:sp macro="" textlink="">
      <xdr:nvSpPr>
        <xdr:cNvPr id="8" name="Diagrama de flujo: conector 7">
          <a:extLst>
            <a:ext uri="{FF2B5EF4-FFF2-40B4-BE49-F238E27FC236}">
              <a16:creationId xmlns:a16="http://schemas.microsoft.com/office/drawing/2014/main" id="{99A10420-827F-4FE0-9CD0-4C51B706AC43}"/>
            </a:ext>
          </a:extLst>
        </xdr:cNvPr>
        <xdr:cNvSpPr/>
      </xdr:nvSpPr>
      <xdr:spPr>
        <a:xfrm>
          <a:off x="3996690" y="1405890"/>
          <a:ext cx="295275" cy="325755"/>
        </a:xfrm>
        <a:prstGeom prst="flowChartConnector">
          <a:avLst/>
        </a:prstGeom>
        <a:solidFill>
          <a:schemeClr val="tx2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 b="1"/>
            <a:t>4</a:t>
          </a:r>
          <a:endParaRPr lang="es-GT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98CC-8B85-41E5-93A8-13504ADCC1B0}">
  <dimension ref="C3:P39"/>
  <sheetViews>
    <sheetView showGridLines="0" topLeftCell="A16" workbookViewId="0">
      <selection activeCell="L33" sqref="L33"/>
    </sheetView>
  </sheetViews>
  <sheetFormatPr baseColWidth="10" defaultColWidth="10.77734375" defaultRowHeight="13.8"/>
  <cols>
    <col min="1" max="2" width="10.77734375" style="1"/>
    <col min="3" max="3" width="10.21875" style="1" bestFit="1" customWidth="1"/>
    <col min="4" max="4" width="21.21875" style="1" bestFit="1" customWidth="1"/>
    <col min="5" max="5" width="11" style="1" bestFit="1" customWidth="1"/>
    <col min="6" max="6" width="14.5546875" style="1" bestFit="1" customWidth="1"/>
    <col min="7" max="7" width="16.21875" style="1" bestFit="1" customWidth="1"/>
    <col min="8" max="16384" width="10.77734375" style="1"/>
  </cols>
  <sheetData>
    <row r="3" spans="3:14" ht="14.4" thickBot="1"/>
    <row r="4" spans="3:14" ht="42" thickBot="1">
      <c r="C4" s="5"/>
      <c r="D4" s="6" t="s">
        <v>17</v>
      </c>
      <c r="E4" s="6" t="s">
        <v>18</v>
      </c>
      <c r="F4" s="6" t="s">
        <v>19</v>
      </c>
      <c r="G4" s="6" t="s">
        <v>20</v>
      </c>
      <c r="M4" s="7" t="s">
        <v>21</v>
      </c>
      <c r="N4" s="9">
        <v>0.14017916666666666</v>
      </c>
    </row>
    <row r="5" spans="3:14">
      <c r="C5" s="5"/>
      <c r="D5" s="7" t="s">
        <v>21</v>
      </c>
      <c r="E5" s="8">
        <v>0</v>
      </c>
      <c r="F5" s="9">
        <v>0.14017916666666666</v>
      </c>
      <c r="G5" s="10">
        <v>0.14000000000000001</v>
      </c>
      <c r="M5" s="11" t="s">
        <v>22</v>
      </c>
      <c r="N5" s="9">
        <v>0.14517916666666666</v>
      </c>
    </row>
    <row r="6" spans="3:14">
      <c r="C6" s="5"/>
      <c r="D6" s="11" t="s">
        <v>22</v>
      </c>
      <c r="E6" s="8">
        <v>5.0000000000000001E-3</v>
      </c>
      <c r="F6" s="9">
        <v>0.14517916666666666</v>
      </c>
      <c r="G6" s="12">
        <v>0.14499999999999999</v>
      </c>
      <c r="M6" s="11" t="s">
        <v>23</v>
      </c>
      <c r="N6" s="14">
        <v>0.15017916666666667</v>
      </c>
    </row>
    <row r="7" spans="3:14">
      <c r="C7" s="5"/>
      <c r="D7" s="11" t="s">
        <v>23</v>
      </c>
      <c r="E7" s="13">
        <v>0.01</v>
      </c>
      <c r="F7" s="14">
        <v>0.15017916666666667</v>
      </c>
      <c r="G7" s="12">
        <v>0.15</v>
      </c>
      <c r="M7" s="11" t="s">
        <v>24</v>
      </c>
      <c r="N7" s="14">
        <v>0.15517916666666665</v>
      </c>
    </row>
    <row r="8" spans="3:14">
      <c r="C8" s="5"/>
      <c r="D8" s="11" t="s">
        <v>24</v>
      </c>
      <c r="E8" s="13">
        <v>1.4999999999999999E-2</v>
      </c>
      <c r="F8" s="14">
        <v>0.15517916666666665</v>
      </c>
      <c r="G8" s="12">
        <v>0.155</v>
      </c>
      <c r="M8" s="15" t="s">
        <v>25</v>
      </c>
      <c r="N8" s="17">
        <v>0.15767916666666665</v>
      </c>
    </row>
    <row r="9" spans="3:14">
      <c r="C9" s="5"/>
      <c r="D9" s="15" t="s">
        <v>25</v>
      </c>
      <c r="E9" s="16">
        <v>1.7500000000000002E-2</v>
      </c>
      <c r="F9" s="17">
        <v>0.15767916666666665</v>
      </c>
      <c r="G9" s="17">
        <v>0.16</v>
      </c>
      <c r="M9" s="11" t="s">
        <v>26</v>
      </c>
      <c r="N9" s="14">
        <v>0.17017916666666666</v>
      </c>
    </row>
    <row r="10" spans="3:14">
      <c r="C10" s="5"/>
      <c r="D10" s="11" t="s">
        <v>26</v>
      </c>
      <c r="E10" s="13">
        <v>0.03</v>
      </c>
      <c r="F10" s="14">
        <v>0.17017916666666666</v>
      </c>
      <c r="G10" s="12">
        <v>0.17</v>
      </c>
      <c r="M10" s="11" t="s">
        <v>27</v>
      </c>
      <c r="N10" s="14">
        <v>0.18017916666666667</v>
      </c>
    </row>
    <row r="11" spans="3:14">
      <c r="C11" s="5"/>
      <c r="D11" s="11" t="s">
        <v>27</v>
      </c>
      <c r="E11" s="13">
        <v>0.04</v>
      </c>
      <c r="F11" s="14">
        <v>0.18017916666666667</v>
      </c>
      <c r="G11" s="12">
        <v>0.18</v>
      </c>
      <c r="M11" s="11" t="s">
        <v>28</v>
      </c>
      <c r="N11" s="14">
        <v>0.19017916666666668</v>
      </c>
    </row>
    <row r="12" spans="3:14">
      <c r="C12" s="5"/>
      <c r="D12" s="11" t="s">
        <v>28</v>
      </c>
      <c r="E12" s="13">
        <v>0.05</v>
      </c>
      <c r="F12" s="14">
        <v>0.19017916666666668</v>
      </c>
      <c r="G12" s="12">
        <v>0.19</v>
      </c>
    </row>
    <row r="13" spans="3:14">
      <c r="C13" s="5"/>
      <c r="D13" s="18"/>
      <c r="E13" s="18"/>
      <c r="F13" s="18"/>
      <c r="G13" s="18"/>
    </row>
    <row r="14" spans="3:14" ht="14.4" thickBot="1">
      <c r="C14" s="18"/>
      <c r="D14" s="18"/>
      <c r="E14" s="18"/>
      <c r="F14" s="18"/>
      <c r="G14" s="18"/>
    </row>
    <row r="15" spans="3:14" ht="42" thickBot="1">
      <c r="C15" s="121" t="s">
        <v>29</v>
      </c>
      <c r="D15" s="116" t="s">
        <v>30</v>
      </c>
      <c r="E15" s="2" t="s">
        <v>31</v>
      </c>
      <c r="F15" s="2" t="s">
        <v>32</v>
      </c>
      <c r="G15" s="2" t="s">
        <v>33</v>
      </c>
      <c r="I15" s="1" t="s">
        <v>30</v>
      </c>
    </row>
    <row r="16" spans="3:14" ht="42" thickBot="1">
      <c r="C16" s="122"/>
      <c r="D16" s="117"/>
      <c r="E16" s="4" t="s">
        <v>3</v>
      </c>
      <c r="F16" s="4" t="s">
        <v>4</v>
      </c>
      <c r="G16" s="4" t="s">
        <v>5</v>
      </c>
      <c r="I16" s="2" t="s">
        <v>31</v>
      </c>
      <c r="J16" s="4" t="s">
        <v>3</v>
      </c>
    </row>
    <row r="17" spans="3:16" ht="28.2" thickBot="1">
      <c r="C17" s="122"/>
      <c r="D17" s="116" t="s">
        <v>0</v>
      </c>
      <c r="E17" s="2" t="s">
        <v>8</v>
      </c>
      <c r="F17" s="2" t="s">
        <v>9</v>
      </c>
      <c r="G17" s="3" t="s">
        <v>10</v>
      </c>
      <c r="I17" s="2" t="s">
        <v>32</v>
      </c>
      <c r="J17" s="4" t="s">
        <v>4</v>
      </c>
    </row>
    <row r="18" spans="3:16" ht="42" thickBot="1">
      <c r="C18" s="122"/>
      <c r="D18" s="117"/>
      <c r="E18" s="4" t="s">
        <v>3</v>
      </c>
      <c r="F18" s="4" t="s">
        <v>4</v>
      </c>
      <c r="G18" s="4" t="s">
        <v>5</v>
      </c>
      <c r="I18" s="2" t="s">
        <v>33</v>
      </c>
      <c r="J18" s="4" t="s">
        <v>5</v>
      </c>
    </row>
    <row r="19" spans="3:16" ht="82.8">
      <c r="C19" s="122"/>
      <c r="D19" s="116" t="s">
        <v>34</v>
      </c>
      <c r="E19" s="2" t="s">
        <v>35</v>
      </c>
      <c r="F19" s="19" t="s">
        <v>36</v>
      </c>
      <c r="G19" s="2" t="s">
        <v>37</v>
      </c>
    </row>
    <row r="20" spans="3:16" ht="14.4" thickBot="1">
      <c r="C20" s="122"/>
      <c r="D20" s="117"/>
      <c r="E20" s="4" t="s">
        <v>3</v>
      </c>
      <c r="F20" s="4" t="s">
        <v>4</v>
      </c>
      <c r="G20" s="4" t="s">
        <v>5</v>
      </c>
    </row>
    <row r="21" spans="3:16" ht="42" thickBot="1">
      <c r="C21" s="122"/>
      <c r="D21" s="123" t="s">
        <v>38</v>
      </c>
      <c r="E21" s="19" t="s">
        <v>14</v>
      </c>
      <c r="F21" s="2" t="s">
        <v>39</v>
      </c>
      <c r="G21" s="2" t="s">
        <v>40</v>
      </c>
      <c r="I21" s="116" t="s">
        <v>34</v>
      </c>
      <c r="J21" s="117"/>
    </row>
    <row r="22" spans="3:16" ht="83.4" thickBot="1">
      <c r="C22" s="122"/>
      <c r="D22" s="124"/>
      <c r="E22" s="4" t="s">
        <v>3</v>
      </c>
      <c r="F22" s="4" t="s">
        <v>4</v>
      </c>
      <c r="G22" s="20" t="s">
        <v>5</v>
      </c>
      <c r="I22" s="2" t="s">
        <v>35</v>
      </c>
      <c r="J22" s="4" t="s">
        <v>3</v>
      </c>
    </row>
    <row r="23" spans="3:16" ht="14.4" thickBot="1">
      <c r="C23" s="122"/>
      <c r="D23" s="116" t="s">
        <v>41</v>
      </c>
      <c r="E23" s="118" t="s">
        <v>31</v>
      </c>
      <c r="F23" s="119"/>
      <c r="G23" s="120"/>
      <c r="I23" s="19" t="s">
        <v>36</v>
      </c>
      <c r="J23" s="4" t="s">
        <v>4</v>
      </c>
    </row>
    <row r="24" spans="3:16" ht="28.2" thickBot="1">
      <c r="C24" s="122"/>
      <c r="D24" s="125"/>
      <c r="E24" s="21" t="s">
        <v>42</v>
      </c>
      <c r="F24" s="2" t="s">
        <v>43</v>
      </c>
      <c r="G24" s="21" t="s">
        <v>44</v>
      </c>
      <c r="I24" s="2" t="s">
        <v>37</v>
      </c>
      <c r="J24" s="4" t="s">
        <v>5</v>
      </c>
    </row>
    <row r="25" spans="3:16" ht="14.4" thickBot="1">
      <c r="C25" s="122"/>
      <c r="D25" s="125"/>
      <c r="E25" s="20" t="s">
        <v>3</v>
      </c>
      <c r="F25" s="4" t="s">
        <v>4</v>
      </c>
      <c r="G25" s="20" t="s">
        <v>5</v>
      </c>
    </row>
    <row r="26" spans="3:16" ht="14.4" thickBot="1">
      <c r="C26" s="122"/>
      <c r="D26" s="125"/>
      <c r="E26" s="118" t="s">
        <v>32</v>
      </c>
      <c r="F26" s="119"/>
      <c r="G26" s="120"/>
      <c r="I26" s="1" t="s">
        <v>58</v>
      </c>
      <c r="L26" s="1" t="s">
        <v>31</v>
      </c>
      <c r="N26" s="1" t="s">
        <v>31</v>
      </c>
    </row>
    <row r="27" spans="3:16" ht="14.4" thickBot="1">
      <c r="C27" s="122"/>
      <c r="D27" s="125"/>
      <c r="E27" s="21" t="s">
        <v>11</v>
      </c>
      <c r="F27" s="2" t="s">
        <v>12</v>
      </c>
      <c r="G27" s="21" t="s">
        <v>13</v>
      </c>
      <c r="I27" s="21" t="s">
        <v>42</v>
      </c>
      <c r="J27" s="4" t="s">
        <v>3</v>
      </c>
      <c r="L27" s="1" t="s">
        <v>32</v>
      </c>
      <c r="N27" s="1">
        <v>0.5</v>
      </c>
      <c r="O27" s="1">
        <v>0.99</v>
      </c>
      <c r="P27" s="1" t="s">
        <v>5</v>
      </c>
    </row>
    <row r="28" spans="3:16" ht="28.2" thickBot="1">
      <c r="C28" s="122"/>
      <c r="D28" s="125"/>
      <c r="E28" s="20" t="s">
        <v>3</v>
      </c>
      <c r="F28" s="4" t="s">
        <v>4</v>
      </c>
      <c r="G28" s="20" t="s">
        <v>5</v>
      </c>
      <c r="I28" s="2" t="s">
        <v>43</v>
      </c>
      <c r="J28" s="4" t="s">
        <v>4</v>
      </c>
      <c r="N28" s="1">
        <v>1</v>
      </c>
      <c r="O28" s="1">
        <v>1.99</v>
      </c>
      <c r="P28" s="1" t="s">
        <v>4</v>
      </c>
    </row>
    <row r="29" spans="3:16" ht="14.4" thickBot="1">
      <c r="C29" s="122"/>
      <c r="D29" s="125"/>
      <c r="E29" s="118" t="s">
        <v>33</v>
      </c>
      <c r="F29" s="119"/>
      <c r="G29" s="120"/>
      <c r="I29" s="21" t="s">
        <v>44</v>
      </c>
      <c r="J29" s="4" t="s">
        <v>5</v>
      </c>
      <c r="N29" s="1">
        <v>2</v>
      </c>
      <c r="O29" s="1">
        <v>100</v>
      </c>
      <c r="P29" s="1" t="s">
        <v>3</v>
      </c>
    </row>
    <row r="30" spans="3:16">
      <c r="C30" s="122"/>
      <c r="D30" s="125"/>
      <c r="E30" s="21" t="s">
        <v>45</v>
      </c>
      <c r="F30" s="2" t="s">
        <v>46</v>
      </c>
      <c r="G30" s="21" t="s">
        <v>47</v>
      </c>
    </row>
    <row r="31" spans="3:16" ht="14.4" thickBot="1">
      <c r="C31" s="122"/>
      <c r="D31" s="117"/>
      <c r="E31" s="20" t="s">
        <v>3</v>
      </c>
      <c r="F31" s="4" t="s">
        <v>4</v>
      </c>
      <c r="G31" s="20" t="s">
        <v>5</v>
      </c>
      <c r="I31" s="1" t="s">
        <v>56</v>
      </c>
      <c r="N31" s="1" t="s">
        <v>32</v>
      </c>
    </row>
    <row r="32" spans="3:16" ht="14.4" thickBot="1">
      <c r="I32" s="21" t="s">
        <v>11</v>
      </c>
      <c r="J32" s="4" t="s">
        <v>3</v>
      </c>
      <c r="N32" s="1">
        <v>1</v>
      </c>
      <c r="O32" s="1">
        <v>1.99</v>
      </c>
      <c r="P32" s="1" t="s">
        <v>5</v>
      </c>
    </row>
    <row r="33" spans="9:16" ht="28.2" thickBot="1">
      <c r="I33" s="2" t="s">
        <v>12</v>
      </c>
      <c r="J33" s="4" t="s">
        <v>4</v>
      </c>
      <c r="N33" s="1">
        <v>2</v>
      </c>
      <c r="O33" s="1">
        <v>2.99</v>
      </c>
      <c r="P33" s="1" t="s">
        <v>4</v>
      </c>
    </row>
    <row r="34" spans="9:16" ht="14.4" thickBot="1">
      <c r="I34" s="21" t="s">
        <v>13</v>
      </c>
      <c r="J34" s="4" t="s">
        <v>5</v>
      </c>
      <c r="N34" s="1">
        <v>3</v>
      </c>
      <c r="O34" s="1">
        <v>100</v>
      </c>
      <c r="P34" s="1" t="s">
        <v>3</v>
      </c>
    </row>
    <row r="36" spans="9:16" ht="14.4" thickBot="1">
      <c r="I36" s="1" t="s">
        <v>57</v>
      </c>
      <c r="N36" s="1" t="s">
        <v>33</v>
      </c>
    </row>
    <row r="37" spans="9:16" ht="14.4" thickBot="1">
      <c r="I37" s="21" t="s">
        <v>45</v>
      </c>
      <c r="J37" s="4" t="s">
        <v>3</v>
      </c>
      <c r="N37" s="1">
        <v>2</v>
      </c>
      <c r="O37" s="1">
        <v>2.99</v>
      </c>
      <c r="P37" s="1" t="s">
        <v>5</v>
      </c>
    </row>
    <row r="38" spans="9:16" ht="28.2" thickBot="1">
      <c r="I38" s="2" t="s">
        <v>46</v>
      </c>
      <c r="J38" s="4" t="s">
        <v>4</v>
      </c>
      <c r="N38" s="1">
        <v>3</v>
      </c>
      <c r="O38" s="1">
        <v>3.99</v>
      </c>
      <c r="P38" s="1" t="s">
        <v>4</v>
      </c>
    </row>
    <row r="39" spans="9:16" ht="14.4" thickBot="1">
      <c r="I39" s="21" t="s">
        <v>47</v>
      </c>
      <c r="J39" s="4" t="s">
        <v>5</v>
      </c>
      <c r="N39" s="1">
        <v>4</v>
      </c>
      <c r="O39" s="1">
        <v>100</v>
      </c>
      <c r="P39" s="1" t="s">
        <v>3</v>
      </c>
    </row>
  </sheetData>
  <mergeCells count="10">
    <mergeCell ref="I21:J21"/>
    <mergeCell ref="E23:G23"/>
    <mergeCell ref="E26:G26"/>
    <mergeCell ref="E29:G29"/>
    <mergeCell ref="C15:C31"/>
    <mergeCell ref="D15:D16"/>
    <mergeCell ref="D17:D18"/>
    <mergeCell ref="D19:D20"/>
    <mergeCell ref="D21:D22"/>
    <mergeCell ref="D23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A098-F063-4333-BEA6-C6C922198BAA}">
  <dimension ref="A1:P59"/>
  <sheetViews>
    <sheetView tabSelected="1" topLeftCell="A9" zoomScale="125" zoomScaleNormal="125" workbookViewId="0">
      <selection activeCell="D27" sqref="D27"/>
    </sheetView>
  </sheetViews>
  <sheetFormatPr baseColWidth="10" defaultColWidth="0" defaultRowHeight="0" customHeight="1" zeroHeight="1" outlineLevelRow="1"/>
  <cols>
    <col min="1" max="1" width="3.77734375" customWidth="1"/>
    <col min="2" max="2" width="31.33203125" bestFit="1" customWidth="1"/>
    <col min="3" max="3" width="35.109375" customWidth="1"/>
    <col min="4" max="4" width="39.5546875" customWidth="1"/>
    <col min="5" max="5" width="16" hidden="1" customWidth="1"/>
    <col min="6" max="8" width="10.88671875" hidden="1" customWidth="1"/>
    <col min="9" max="9" width="20.109375" hidden="1" customWidth="1"/>
    <col min="10" max="10" width="11.21875" hidden="1" customWidth="1"/>
    <col min="11" max="11" width="2.21875" hidden="1" customWidth="1"/>
    <col min="12" max="12" width="1.88671875" hidden="1" customWidth="1"/>
    <col min="13" max="13" width="10.88671875" hidden="1" customWidth="1"/>
    <col min="14" max="14" width="13.88671875" hidden="1" customWidth="1"/>
    <col min="15" max="16" width="0" hidden="1" customWidth="1"/>
    <col min="17" max="16384" width="10.88671875" hidden="1"/>
  </cols>
  <sheetData>
    <row r="1" spans="2:15" ht="7.8" customHeight="1" thickBot="1"/>
    <row r="2" spans="2:15" ht="42" customHeight="1" thickBot="1">
      <c r="B2" s="129" t="s">
        <v>113</v>
      </c>
      <c r="C2" s="130"/>
      <c r="D2" s="131"/>
    </row>
    <row r="3" spans="2:15" ht="14.4" hidden="1">
      <c r="B3" s="23"/>
      <c r="C3" s="23"/>
      <c r="D3" s="23"/>
    </row>
    <row r="4" spans="2:15" ht="14.4" hidden="1">
      <c r="B4" s="23"/>
      <c r="C4" s="23"/>
      <c r="D4" s="23"/>
    </row>
    <row r="5" spans="2:15" ht="14.4" hidden="1">
      <c r="B5" s="23"/>
      <c r="C5" s="23"/>
      <c r="K5" t="s">
        <v>5</v>
      </c>
      <c r="L5">
        <v>0</v>
      </c>
    </row>
    <row r="6" spans="2:15" ht="14.4" hidden="1">
      <c r="B6" s="23"/>
      <c r="C6" s="23"/>
      <c r="K6" t="s">
        <v>4</v>
      </c>
      <c r="L6">
        <v>1</v>
      </c>
    </row>
    <row r="7" spans="2:15" ht="14.4" hidden="1">
      <c r="B7" s="23"/>
      <c r="C7" s="23"/>
      <c r="K7" t="s">
        <v>3</v>
      </c>
      <c r="L7">
        <v>2</v>
      </c>
    </row>
    <row r="8" spans="2:15" ht="14.4">
      <c r="B8" s="23"/>
      <c r="C8" s="23"/>
      <c r="D8" s="55"/>
    </row>
    <row r="9" spans="2:15" ht="18">
      <c r="B9" s="66" t="s">
        <v>90</v>
      </c>
      <c r="C9" s="109">
        <v>200000</v>
      </c>
      <c r="D9" s="137" t="str">
        <f ca="1">IFERROR(F9,"")</f>
        <v>APLICA SOLICITUD</v>
      </c>
      <c r="F9" t="str">
        <f ca="1">IF(OR(D31="NO APLICA SOLICITUD",D21="NO APLICA SOLICITUD",D27="NO APLICA SOLICITUD"),"NO APLICA SOLICITUD","APLICA SOLICITUD")</f>
        <v>APLICA SOLICITUD</v>
      </c>
    </row>
    <row r="10" spans="2:15" ht="18">
      <c r="B10" s="66" t="s">
        <v>107</v>
      </c>
      <c r="C10" s="84">
        <f>+C9*0.03</f>
        <v>6000</v>
      </c>
      <c r="D10" s="137"/>
    </row>
    <row r="11" spans="2:15" ht="18">
      <c r="B11" s="66" t="s">
        <v>106</v>
      </c>
      <c r="C11" s="84">
        <f>+C9+C10</f>
        <v>206000</v>
      </c>
      <c r="D11" s="137"/>
    </row>
    <row r="12" spans="2:15" ht="18">
      <c r="B12" s="66" t="s">
        <v>83</v>
      </c>
      <c r="C12" s="110">
        <v>45261</v>
      </c>
      <c r="D12" s="137"/>
    </row>
    <row r="13" spans="2:15" ht="18">
      <c r="B13" s="66" t="s">
        <v>93</v>
      </c>
      <c r="C13" s="111">
        <v>60</v>
      </c>
      <c r="D13" s="137"/>
      <c r="I13" t="s">
        <v>87</v>
      </c>
      <c r="M13" t="s">
        <v>86</v>
      </c>
    </row>
    <row r="14" spans="2:15" ht="18" hidden="1">
      <c r="B14" s="66" t="s">
        <v>61</v>
      </c>
      <c r="C14" s="109"/>
      <c r="D14" s="23"/>
      <c r="I14" s="53">
        <v>0</v>
      </c>
      <c r="J14" s="53">
        <v>7000</v>
      </c>
      <c r="K14" t="s">
        <v>5</v>
      </c>
      <c r="M14" s="53">
        <v>0</v>
      </c>
      <c r="N14" s="53">
        <v>15000</v>
      </c>
      <c r="O14" t="s">
        <v>5</v>
      </c>
    </row>
    <row r="15" spans="2:15" ht="18">
      <c r="B15" s="66" t="s">
        <v>110</v>
      </c>
      <c r="C15" s="109"/>
      <c r="D15" s="23"/>
      <c r="I15" s="53">
        <v>7000.01</v>
      </c>
      <c r="J15" s="53">
        <v>19999.990000000002</v>
      </c>
      <c r="K15" t="s">
        <v>4</v>
      </c>
      <c r="M15" s="53">
        <v>15000.01</v>
      </c>
      <c r="N15" s="53">
        <v>29999.99</v>
      </c>
      <c r="O15" t="s">
        <v>4</v>
      </c>
    </row>
    <row r="16" spans="2:15" ht="18">
      <c r="B16" s="102"/>
      <c r="C16" s="103"/>
      <c r="D16" s="23"/>
      <c r="I16" s="53">
        <v>20000</v>
      </c>
      <c r="J16" s="53">
        <v>100000</v>
      </c>
      <c r="K16" t="s">
        <v>3</v>
      </c>
      <c r="M16" s="53">
        <v>30000</v>
      </c>
      <c r="N16" s="53">
        <v>100000</v>
      </c>
      <c r="O16" t="s">
        <v>3</v>
      </c>
    </row>
    <row r="17" spans="2:16" ht="18" outlineLevel="1">
      <c r="B17" s="132" t="s">
        <v>91</v>
      </c>
      <c r="C17" s="132"/>
      <c r="D17" s="108" t="s">
        <v>32</v>
      </c>
    </row>
    <row r="18" spans="2:16" ht="18" hidden="1" outlineLevel="1">
      <c r="B18" s="63" t="s">
        <v>6</v>
      </c>
      <c r="C18" s="64"/>
      <c r="D18" s="58" t="str">
        <f>VLOOKUP($D$17,'COTIZADOR PLANILLERO'!$I$16:$J$18,2,0)</f>
        <v>B</v>
      </c>
    </row>
    <row r="19" spans="2:16" ht="18" hidden="1">
      <c r="B19" s="63" t="s">
        <v>7</v>
      </c>
      <c r="C19" s="63"/>
      <c r="D19" s="59">
        <f>VLOOKUP(D18,$K$5:$L$7,2,0)</f>
        <v>1</v>
      </c>
      <c r="I19" t="s">
        <v>2</v>
      </c>
    </row>
    <row r="20" spans="2:16" ht="18">
      <c r="B20" s="133" t="s">
        <v>1</v>
      </c>
      <c r="C20" s="133"/>
      <c r="D20" s="101">
        <f ca="1">IF(C12="","",IF(((TODAY()-C12)/365)&lt;0.5,"NO APLICA SOLICITUD",((TODAY()-C12)/365)))</f>
        <v>1.0328767123287672</v>
      </c>
    </row>
    <row r="21" spans="2:16" ht="18" hidden="1" outlineLevel="1">
      <c r="B21" s="63" t="s">
        <v>6</v>
      </c>
      <c r="C21" s="63"/>
      <c r="D21" s="60" t="str">
        <f ca="1">IFERROR(IF($D$17=$N$24,VLOOKUP($D$20,$N$25:$P$27,3,TRUE),IF($D$17=$N$29,VLOOKUP($D$20,$N$30:$P$32,3,TRUE),IF($D$17=$N$34,VLOOKUP($D$20,$N$35:$P$37,3,TRUE)))),"NO APLICA SOLICITUD")</f>
        <v>A</v>
      </c>
      <c r="I21" s="50">
        <v>0.55000000000000004</v>
      </c>
      <c r="J21" s="50">
        <v>0.59989999999999999</v>
      </c>
      <c r="K21" t="s">
        <v>3</v>
      </c>
    </row>
    <row r="22" spans="2:16" ht="18" hidden="1" outlineLevel="1">
      <c r="B22" s="63" t="s">
        <v>7</v>
      </c>
      <c r="C22" s="63"/>
      <c r="D22" s="59">
        <v>2</v>
      </c>
      <c r="I22" s="50">
        <v>0.6</v>
      </c>
      <c r="J22" s="50">
        <v>0.69989999999999997</v>
      </c>
      <c r="K22" t="s">
        <v>4</v>
      </c>
    </row>
    <row r="23" spans="2:16" ht="36" collapsed="1">
      <c r="B23" s="139" t="s">
        <v>92</v>
      </c>
      <c r="C23" s="139"/>
      <c r="D23" s="107" t="s">
        <v>35</v>
      </c>
      <c r="I23" s="50">
        <v>0.7</v>
      </c>
      <c r="J23" s="50">
        <v>1</v>
      </c>
      <c r="K23" t="s">
        <v>5</v>
      </c>
    </row>
    <row r="24" spans="2:16" ht="18" hidden="1" outlineLevel="1">
      <c r="B24" s="24" t="s">
        <v>6</v>
      </c>
      <c r="C24" s="25"/>
      <c r="D24" s="56" t="str">
        <f>VLOOKUP($D$23,'COTIZADOR PLANILLERO'!$I$22:$J$24,2,0)</f>
        <v>A</v>
      </c>
      <c r="I24" s="50"/>
      <c r="J24" s="50"/>
      <c r="N24" s="1" t="s">
        <v>31</v>
      </c>
      <c r="O24" s="1"/>
      <c r="P24" s="1"/>
    </row>
    <row r="25" spans="2:16" ht="18.600000000000001" hidden="1" outlineLevel="1" thickBot="1">
      <c r="B25" s="52" t="s">
        <v>7</v>
      </c>
      <c r="C25" s="54"/>
      <c r="D25" s="57">
        <f>IF(D24=0,0,VLOOKUP(D24,$K$5:$L$7,2,0))</f>
        <v>2</v>
      </c>
      <c r="N25" s="1">
        <v>0.5</v>
      </c>
      <c r="O25" s="1">
        <v>0.99</v>
      </c>
      <c r="P25" s="1" t="s">
        <v>3</v>
      </c>
    </row>
    <row r="26" spans="2:16" ht="14.4" hidden="1" collapsed="1">
      <c r="I26" t="s">
        <v>76</v>
      </c>
      <c r="N26" s="1">
        <v>1</v>
      </c>
      <c r="O26" s="1">
        <v>1.99</v>
      </c>
      <c r="P26" s="1" t="s">
        <v>3</v>
      </c>
    </row>
    <row r="27" spans="2:16" ht="18" outlineLevel="1">
      <c r="B27" s="134" t="s">
        <v>89</v>
      </c>
      <c r="C27" s="134"/>
      <c r="D27" s="115" t="str">
        <f>'NIVEL DE ENDEUDAMIENTO'!C7</f>
        <v>Decrece</v>
      </c>
      <c r="I27" s="50">
        <v>0</v>
      </c>
      <c r="J27" s="50">
        <v>0.3</v>
      </c>
      <c r="K27" t="s">
        <v>3</v>
      </c>
      <c r="N27" s="1">
        <v>2</v>
      </c>
      <c r="O27" s="1">
        <v>100</v>
      </c>
      <c r="P27" s="1" t="s">
        <v>3</v>
      </c>
    </row>
    <row r="28" spans="2:16" ht="18" hidden="1" outlineLevel="1">
      <c r="B28" s="63" t="s">
        <v>6</v>
      </c>
      <c r="C28" s="63"/>
      <c r="D28" s="59" t="str">
        <f>IFERROR(VLOOKUP(D27,$I$36:$J$38,2,0),"-")</f>
        <v>A</v>
      </c>
      <c r="I28" s="50">
        <v>0.30000000999999998</v>
      </c>
      <c r="J28" s="50">
        <v>0.35999999989999998</v>
      </c>
      <c r="K28" t="s">
        <v>4</v>
      </c>
      <c r="N28" s="1"/>
      <c r="O28" s="1"/>
      <c r="P28" s="1"/>
    </row>
    <row r="29" spans="2:16" ht="18" hidden="1">
      <c r="B29" s="63" t="s">
        <v>7</v>
      </c>
      <c r="C29" s="63"/>
      <c r="D29" s="59">
        <f>IFERROR(VLOOKUP(D28,$K$5:$L$7,2,0),"-")</f>
        <v>2</v>
      </c>
      <c r="I29" s="50">
        <v>0.36000000999999998</v>
      </c>
      <c r="J29" s="50">
        <v>0.4</v>
      </c>
      <c r="K29" t="s">
        <v>5</v>
      </c>
      <c r="N29" s="1" t="s">
        <v>32</v>
      </c>
      <c r="O29" s="1"/>
      <c r="P29" s="1"/>
    </row>
    <row r="30" spans="2:16" ht="18" outlineLevel="1">
      <c r="B30" s="138" t="s">
        <v>0</v>
      </c>
      <c r="C30" s="138"/>
      <c r="D30" s="89">
        <f>+IFERROR(E30,"")</f>
        <v>0.19091865521773926</v>
      </c>
      <c r="E30" s="85">
        <f>+RCI!C1</f>
        <v>0.19091865521773926</v>
      </c>
      <c r="N30" s="1">
        <v>1</v>
      </c>
      <c r="O30" s="1">
        <v>1.99</v>
      </c>
      <c r="P30" s="1" t="s">
        <v>3</v>
      </c>
    </row>
    <row r="31" spans="2:16" ht="18" hidden="1" outlineLevel="1">
      <c r="B31" s="62" t="s">
        <v>88</v>
      </c>
      <c r="C31" s="62"/>
      <c r="D31" s="60" t="str">
        <f>IF(E30&gt;0.4,"NO APLICA SOLICITUD","APLICA")</f>
        <v>APLICA</v>
      </c>
      <c r="E31" cm="1">
        <f t="array" ref="E31">+IF(E30&lt;=30%,E30,SI)</f>
        <v>0.19091865521773926</v>
      </c>
      <c r="I31" t="s">
        <v>77</v>
      </c>
      <c r="N31" s="1">
        <v>2</v>
      </c>
      <c r="O31" s="1">
        <v>2.99</v>
      </c>
      <c r="P31" s="1" t="s">
        <v>3</v>
      </c>
    </row>
    <row r="32" spans="2:16" ht="18" hidden="1">
      <c r="B32" s="63" t="s">
        <v>6</v>
      </c>
      <c r="C32" s="63"/>
      <c r="D32" s="58" t="str">
        <f>VLOOKUP(E30,$I$27:$K$29,3,TRUE)</f>
        <v>A</v>
      </c>
      <c r="I32" s="51">
        <v>0</v>
      </c>
      <c r="J32" s="51">
        <v>1.99</v>
      </c>
      <c r="K32" t="s">
        <v>5</v>
      </c>
      <c r="N32" s="1">
        <v>3</v>
      </c>
      <c r="O32" s="1">
        <v>100</v>
      </c>
      <c r="P32" s="1" t="s">
        <v>3</v>
      </c>
    </row>
    <row r="33" spans="2:16" ht="18" hidden="1">
      <c r="B33" s="63" t="s">
        <v>7</v>
      </c>
      <c r="C33" s="63"/>
      <c r="D33" s="61">
        <f>VLOOKUP(D32,$K$5:$L$7,2,0)</f>
        <v>2</v>
      </c>
      <c r="I33" s="51">
        <v>2</v>
      </c>
      <c r="J33" s="51">
        <v>2.99</v>
      </c>
      <c r="K33" t="s">
        <v>4</v>
      </c>
      <c r="N33" s="1"/>
      <c r="O33" s="1"/>
      <c r="P33" s="1"/>
    </row>
    <row r="34" spans="2:16" ht="18.600000000000001" thickBot="1">
      <c r="B34" s="67"/>
      <c r="C34" s="67"/>
      <c r="D34" s="68"/>
      <c r="I34" s="51">
        <v>3</v>
      </c>
      <c r="J34" s="51">
        <v>50</v>
      </c>
      <c r="K34" t="s">
        <v>3</v>
      </c>
      <c r="N34" s="1" t="s">
        <v>33</v>
      </c>
      <c r="O34" s="1"/>
      <c r="P34" s="1"/>
    </row>
    <row r="35" spans="2:16" ht="18">
      <c r="B35" s="135" t="s">
        <v>15</v>
      </c>
      <c r="C35" s="136"/>
      <c r="D35" s="69">
        <f>IFERROR(SUM(D25,D29,D22,D19),"")</f>
        <v>7</v>
      </c>
      <c r="I35" t="s">
        <v>80</v>
      </c>
      <c r="N35" s="1">
        <v>2</v>
      </c>
      <c r="O35" s="1">
        <v>2.99</v>
      </c>
      <c r="P35" s="1" t="s">
        <v>3</v>
      </c>
    </row>
    <row r="36" spans="2:16" ht="36.6">
      <c r="B36" s="126" t="s">
        <v>85</v>
      </c>
      <c r="C36" s="126"/>
      <c r="D36" s="70">
        <f ca="1">IFERROR(IF(F9="NO APLICA SOLICITUD","",IFERROR(D37/12,"")),"")</f>
        <v>1.0833333333333334E-2</v>
      </c>
      <c r="E36" s="86"/>
      <c r="I36" s="23" t="s">
        <v>14</v>
      </c>
      <c r="J36" s="23" t="s">
        <v>3</v>
      </c>
      <c r="N36" s="1">
        <v>3</v>
      </c>
      <c r="O36" s="1">
        <v>3.99</v>
      </c>
      <c r="P36" s="1" t="s">
        <v>3</v>
      </c>
    </row>
    <row r="37" spans="2:16" ht="23.4">
      <c r="B37" s="127" t="s">
        <v>84</v>
      </c>
      <c r="C37" s="127"/>
      <c r="D37" s="88">
        <f>+IFERROR(IF($D$30&lt;=30%,RCI!$I$6,IF('COTIZADOR CON CONVENIO'!$D$30&lt;=36%,RCI!$J$6,IF('COTIZADOR CON CONVENIO'!$D$30&lt;=40%,RCI!$K$6,IF(D30&gt;40%,"")))),"")</f>
        <v>0.13</v>
      </c>
      <c r="E37" s="86"/>
      <c r="I37" s="23" t="s">
        <v>78</v>
      </c>
      <c r="J37" s="23" t="s">
        <v>4</v>
      </c>
      <c r="N37" s="1">
        <v>4</v>
      </c>
      <c r="O37" s="1">
        <v>100</v>
      </c>
      <c r="P37" s="1" t="s">
        <v>3</v>
      </c>
    </row>
    <row r="38" spans="2:16" ht="36.6">
      <c r="B38" s="126" t="s">
        <v>112</v>
      </c>
      <c r="C38" s="128"/>
      <c r="D38" s="71">
        <f ca="1">IFERROR(PMT($D$36,$C$13,-$C$11)+(C11*0.005/12),"")</f>
        <v>4772.9663804434813</v>
      </c>
      <c r="E38" s="86"/>
      <c r="I38" s="23" t="s">
        <v>79</v>
      </c>
      <c r="J38" s="23" t="s">
        <v>5</v>
      </c>
    </row>
    <row r="39" spans="2:16" ht="14.4"/>
    <row r="40" spans="2:16" ht="14.4" hidden="1">
      <c r="D40" s="87"/>
      <c r="I40" s="23" t="s">
        <v>81</v>
      </c>
      <c r="J40">
        <v>2</v>
      </c>
      <c r="K40" t="s">
        <v>3</v>
      </c>
    </row>
    <row r="41" spans="2:16" ht="14.4" hidden="1">
      <c r="I41" s="23" t="s">
        <v>82</v>
      </c>
      <c r="J41">
        <v>0</v>
      </c>
      <c r="K41" t="s">
        <v>5</v>
      </c>
    </row>
    <row r="42" spans="2:16" ht="14.4" hidden="1"/>
    <row r="43" spans="2:16" ht="14.4" hidden="1"/>
    <row r="44" spans="2:16" ht="14.4" hidden="1">
      <c r="I44" t="s">
        <v>16</v>
      </c>
    </row>
    <row r="45" spans="2:16" ht="14.4" hidden="1">
      <c r="I45">
        <v>0</v>
      </c>
      <c r="J45">
        <v>0.19</v>
      </c>
    </row>
    <row r="46" spans="2:16" ht="14.4" hidden="1">
      <c r="I46">
        <v>1</v>
      </c>
      <c r="J46">
        <v>0.19</v>
      </c>
    </row>
    <row r="47" spans="2:16" ht="14.4" hidden="1">
      <c r="I47">
        <v>2</v>
      </c>
      <c r="J47">
        <v>0.18</v>
      </c>
    </row>
    <row r="48" spans="2:16" ht="14.4" hidden="1">
      <c r="I48">
        <v>3</v>
      </c>
      <c r="J48">
        <v>0.18</v>
      </c>
    </row>
    <row r="49" spans="9:10" ht="14.4" hidden="1">
      <c r="I49">
        <v>4</v>
      </c>
      <c r="J49">
        <v>0.17</v>
      </c>
    </row>
    <row r="50" spans="9:10" ht="14.4" hidden="1">
      <c r="I50">
        <v>5</v>
      </c>
      <c r="J50">
        <v>0.16</v>
      </c>
    </row>
    <row r="51" spans="9:10" ht="14.4" hidden="1">
      <c r="I51">
        <v>6</v>
      </c>
      <c r="J51">
        <v>0.155</v>
      </c>
    </row>
    <row r="52" spans="9:10" ht="14.4" hidden="1">
      <c r="I52">
        <v>7</v>
      </c>
      <c r="J52">
        <v>0.15</v>
      </c>
    </row>
    <row r="53" spans="9:10" ht="14.4" hidden="1">
      <c r="I53">
        <v>8</v>
      </c>
      <c r="J53">
        <v>0.14499999999999999</v>
      </c>
    </row>
    <row r="54" spans="9:10" ht="14.4" hidden="1">
      <c r="I54">
        <v>9</v>
      </c>
      <c r="J54">
        <v>0.14000000000000001</v>
      </c>
    </row>
    <row r="55" spans="9:10" ht="14.4" hidden="1">
      <c r="I55">
        <v>10</v>
      </c>
      <c r="J55">
        <v>0.14000000000000001</v>
      </c>
    </row>
    <row r="56" spans="9:10" ht="14.55" hidden="1" customHeight="1"/>
    <row r="57" spans="9:10" ht="14.55" hidden="1" customHeight="1"/>
    <row r="58" spans="9:10" ht="14.55" hidden="1" customHeight="1"/>
    <row r="59" spans="9:10" ht="14.55" hidden="1" customHeight="1"/>
  </sheetData>
  <sheetProtection algorithmName="SHA-512" hashValue="fvzMIE/Y8a+0aTckOlS/b9+cEDrAUbzhV17FLfkkAn2c48SJaKuo5tYr2kAxFFuOL5n+brCRfnSEpFTV11I+8g==" saltValue="nSYzwfG2i+ew80WHC4vj4g==" spinCount="100000" sheet="1" objects="1" scenarios="1"/>
  <mergeCells count="11">
    <mergeCell ref="B36:C36"/>
    <mergeCell ref="B37:C37"/>
    <mergeCell ref="B38:C38"/>
    <mergeCell ref="B2:D2"/>
    <mergeCell ref="B17:C17"/>
    <mergeCell ref="B20:C20"/>
    <mergeCell ref="B27:C27"/>
    <mergeCell ref="B35:C35"/>
    <mergeCell ref="D9:D13"/>
    <mergeCell ref="B30:C30"/>
    <mergeCell ref="B23:C23"/>
  </mergeCells>
  <conditionalFormatting sqref="D9:D13">
    <cfRule type="containsText" dxfId="6" priority="1" operator="containsText" text="NO APLICA SOLICITUD">
      <formula>NOT(ISERROR(SEARCH("NO APLICA SOLICITUD",D9)))</formula>
    </cfRule>
    <cfRule type="containsText" dxfId="5" priority="2" operator="containsText" text="APLICA SOLICITUD">
      <formula>NOT(ISERROR(SEARCH("APLICA SOLICITUD",D9)))</formula>
    </cfRule>
  </conditionalFormatting>
  <pageMargins left="0.7" right="0.7" top="0.75" bottom="0.75" header="0.3" footer="0.3"/>
  <pageSetup orientation="portrait" r:id="rId1"/>
  <ignoredErrors>
    <ignoredError sqref="D28:D29 D34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E9FA0CC-892D-4E95-A38E-1CABE8081CDE}">
          <x14:formula1>
            <xm:f>'COTIZADOR PLANILLERO'!$I$22:$I$24</xm:f>
          </x14:formula1>
          <xm:sqref>D23</xm:sqref>
        </x14:dataValidation>
        <x14:dataValidation type="list" allowBlank="1" showInputMessage="1" showErrorMessage="1" xr:uid="{8095819F-4E22-4C54-9A38-A812BE9FCC19}">
          <x14:formula1>
            <xm:f>'COTIZADOR PLANILLERO'!$I$16:$I$17</xm:f>
          </x14:formula1>
          <xm:sqref>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4117-8B56-4455-AA37-6B7FBF5BD400}">
  <sheetPr>
    <tabColor rgb="FF92D050"/>
  </sheetPr>
  <dimension ref="B1:M41"/>
  <sheetViews>
    <sheetView showGridLines="0" showRowColHeaders="0" zoomScale="85" zoomScaleNormal="85" workbookViewId="0">
      <selection activeCell="E12" sqref="E12"/>
    </sheetView>
  </sheetViews>
  <sheetFormatPr baseColWidth="10" defaultColWidth="11.5546875" defaultRowHeight="15"/>
  <cols>
    <col min="1" max="1" width="5.77734375" style="26" customWidth="1"/>
    <col min="2" max="2" width="6.6640625" style="26" customWidth="1"/>
    <col min="3" max="3" width="46.6640625" style="26" customWidth="1"/>
    <col min="4" max="4" width="17.44140625" style="26" customWidth="1"/>
    <col min="5" max="5" width="18.44140625" style="26" customWidth="1"/>
    <col min="6" max="6" width="7" style="26" customWidth="1"/>
    <col min="7" max="7" width="17" style="26" customWidth="1"/>
    <col min="8" max="8" width="21.77734375" style="26" bestFit="1" customWidth="1"/>
    <col min="9" max="9" width="20.6640625" style="26" bestFit="1" customWidth="1"/>
    <col min="10" max="10" width="21" style="26" bestFit="1" customWidth="1"/>
    <col min="11" max="11" width="11.5546875" style="26"/>
    <col min="12" max="12" width="15.33203125" style="26" bestFit="1" customWidth="1"/>
    <col min="13" max="13" width="11.88671875" style="26" bestFit="1" customWidth="1"/>
    <col min="14" max="16384" width="11.5546875" style="26"/>
  </cols>
  <sheetData>
    <row r="1" spans="2:13" ht="11.4" customHeight="1"/>
    <row r="2" spans="2:13">
      <c r="B2" s="148" t="s">
        <v>60</v>
      </c>
      <c r="C2" s="149"/>
      <c r="D2" s="149"/>
      <c r="E2" s="149"/>
      <c r="F2" s="150"/>
    </row>
    <row r="3" spans="2:13">
      <c r="B3" s="151"/>
      <c r="C3" s="152"/>
      <c r="D3" s="152"/>
      <c r="E3" s="152"/>
      <c r="F3" s="153"/>
    </row>
    <row r="4" spans="2:13" ht="16.2">
      <c r="B4" s="27"/>
      <c r="C4" s="28"/>
      <c r="D4" s="28"/>
      <c r="E4" s="28"/>
      <c r="F4" s="29"/>
    </row>
    <row r="5" spans="2:13" ht="23.4" customHeight="1">
      <c r="B5" s="27"/>
      <c r="C5" s="30" t="s">
        <v>61</v>
      </c>
      <c r="D5" s="113">
        <v>25000</v>
      </c>
      <c r="F5" s="29"/>
    </row>
    <row r="6" spans="2:13" ht="23.4" customHeight="1" thickBot="1">
      <c r="B6" s="27"/>
      <c r="C6" s="30" t="s">
        <v>62</v>
      </c>
      <c r="D6" s="31">
        <f>+IFERROR(E18/D5,"")</f>
        <v>-0.12</v>
      </c>
      <c r="F6" s="29"/>
      <c r="J6" s="32"/>
      <c r="L6" s="33"/>
      <c r="M6" s="33"/>
    </row>
    <row r="7" spans="2:13" ht="25.2" customHeight="1" thickBot="1">
      <c r="B7" s="27"/>
      <c r="C7" s="34" t="str">
        <f>+IF(D6="","",IF(D6&lt;0,"Decrece",IF(D6&lt;=1,"Se Mantiene",IF(D6&lt;=15,"Crece",IF(D6&gt;15,"NO APLICA SOLICITUD","")))))</f>
        <v>Decrece</v>
      </c>
      <c r="D7" s="35"/>
      <c r="E7" s="28"/>
      <c r="F7" s="29"/>
    </row>
    <row r="8" spans="2:13" ht="16.2">
      <c r="B8" s="27"/>
      <c r="C8" s="30"/>
      <c r="D8" s="30"/>
      <c r="E8" s="28"/>
      <c r="F8" s="29"/>
      <c r="L8" s="36"/>
      <c r="M8" s="36"/>
    </row>
    <row r="9" spans="2:13" ht="16.2">
      <c r="B9" s="27"/>
      <c r="C9" s="28"/>
      <c r="D9" s="73" t="s">
        <v>95</v>
      </c>
      <c r="E9" s="73" t="s">
        <v>94</v>
      </c>
      <c r="F9" s="29"/>
      <c r="M9" s="37"/>
    </row>
    <row r="10" spans="2:13" ht="35.4" customHeight="1">
      <c r="B10" s="27"/>
      <c r="C10" s="28" t="s">
        <v>63</v>
      </c>
      <c r="D10" s="65"/>
      <c r="E10" s="38">
        <v>17000</v>
      </c>
      <c r="F10" s="39"/>
      <c r="H10" s="32"/>
    </row>
    <row r="11" spans="2:13" ht="35.4" customHeight="1" thickBot="1">
      <c r="B11" s="27"/>
      <c r="C11" s="28" t="s">
        <v>64</v>
      </c>
      <c r="D11" s="65"/>
      <c r="E11" s="38">
        <v>20000</v>
      </c>
      <c r="F11" s="39"/>
      <c r="H11" s="32"/>
      <c r="J11" s="32"/>
      <c r="K11" s="40"/>
      <c r="L11" s="40"/>
    </row>
    <row r="12" spans="2:13" ht="35.4" customHeight="1" thickBot="1">
      <c r="B12" s="27"/>
      <c r="C12" s="154" t="s">
        <v>65</v>
      </c>
      <c r="D12" s="155"/>
      <c r="E12" s="41">
        <f>+E10-E11</f>
        <v>-3000</v>
      </c>
      <c r="F12" s="29"/>
      <c r="H12" s="42"/>
      <c r="I12" s="42"/>
      <c r="K12" s="40"/>
    </row>
    <row r="13" spans="2:13" ht="13.8" customHeight="1">
      <c r="B13" s="27"/>
      <c r="C13" s="156" t="s">
        <v>66</v>
      </c>
      <c r="D13" s="157"/>
      <c r="E13" s="43"/>
      <c r="F13" s="29"/>
      <c r="H13" s="42"/>
      <c r="I13" s="42"/>
      <c r="K13" s="40"/>
    </row>
    <row r="14" spans="2:13" ht="21.6" customHeight="1">
      <c r="B14" s="27"/>
      <c r="C14" s="158" t="s">
        <v>67</v>
      </c>
      <c r="D14" s="159"/>
      <c r="E14" s="38">
        <v>0</v>
      </c>
      <c r="F14" s="29"/>
      <c r="H14" s="42"/>
      <c r="I14" s="42"/>
    </row>
    <row r="15" spans="2:13" ht="21.6" customHeight="1">
      <c r="B15" s="27"/>
      <c r="C15" s="146" t="s">
        <v>68</v>
      </c>
      <c r="D15" s="147"/>
      <c r="E15" s="38">
        <v>0</v>
      </c>
      <c r="F15" s="29"/>
      <c r="H15" s="42"/>
      <c r="I15" s="42"/>
    </row>
    <row r="16" spans="2:13" ht="21.6" customHeight="1">
      <c r="B16" s="27"/>
      <c r="C16" s="146" t="s">
        <v>69</v>
      </c>
      <c r="D16" s="147"/>
      <c r="E16" s="38">
        <v>0</v>
      </c>
      <c r="F16" s="29"/>
      <c r="H16" s="42"/>
      <c r="I16" s="42"/>
    </row>
    <row r="17" spans="2:9" ht="21.6" customHeight="1" thickBot="1">
      <c r="B17" s="27"/>
      <c r="C17" s="142" t="s">
        <v>70</v>
      </c>
      <c r="D17" s="143"/>
      <c r="E17" s="38">
        <v>0</v>
      </c>
      <c r="F17" s="29"/>
      <c r="H17" s="42"/>
      <c r="I17" s="42"/>
    </row>
    <row r="18" spans="2:9" ht="35.4" customHeight="1" thickBot="1">
      <c r="B18" s="27"/>
      <c r="C18" s="144" t="s">
        <v>71</v>
      </c>
      <c r="D18" s="145"/>
      <c r="E18" s="41">
        <f>+E12-SUM(E14:E17)</f>
        <v>-3000</v>
      </c>
      <c r="F18" s="29"/>
    </row>
    <row r="19" spans="2:9" ht="16.2">
      <c r="B19" s="44"/>
      <c r="C19" s="45"/>
      <c r="D19" s="45"/>
      <c r="E19" s="45"/>
      <c r="F19" s="46"/>
    </row>
    <row r="20" spans="2:9" s="48" customFormat="1" ht="23.4" customHeight="1">
      <c r="B20" s="47" t="s">
        <v>72</v>
      </c>
    </row>
    <row r="21" spans="2:9" s="48" customFormat="1" ht="24.6" customHeight="1">
      <c r="B21" s="140" t="s">
        <v>73</v>
      </c>
      <c r="C21" s="140"/>
      <c r="D21" s="140"/>
      <c r="E21" s="140"/>
      <c r="F21" s="140"/>
    </row>
    <row r="22" spans="2:9" s="48" customFormat="1" ht="27.6" customHeight="1">
      <c r="B22" s="141" t="s">
        <v>74</v>
      </c>
      <c r="C22" s="141"/>
      <c r="D22" s="141"/>
      <c r="E22" s="141"/>
      <c r="F22" s="141"/>
    </row>
    <row r="23" spans="2:9" s="48" customFormat="1" ht="45.6" customHeight="1">
      <c r="B23" s="141" t="s">
        <v>75</v>
      </c>
      <c r="C23" s="141"/>
      <c r="D23" s="141"/>
      <c r="E23" s="141"/>
      <c r="F23" s="141"/>
    </row>
    <row r="24" spans="2:9" s="48" customFormat="1" ht="34.799999999999997" customHeight="1">
      <c r="B24" s="141" t="s">
        <v>111</v>
      </c>
      <c r="C24" s="141"/>
      <c r="D24" s="141"/>
      <c r="E24" s="141"/>
      <c r="F24" s="141"/>
    </row>
    <row r="37" spans="3:3">
      <c r="C37" s="33"/>
    </row>
    <row r="38" spans="3:3">
      <c r="C38" s="49"/>
    </row>
    <row r="41" spans="3:3">
      <c r="C41" s="36"/>
    </row>
  </sheetData>
  <sheetProtection algorithmName="SHA-512" hashValue="rS1Fo5wZm36wEpp06k8EPUfTHgPQdPHzN0XiCSWc7a3W5wIm6FiJ/AEpYtcwsshHGngLk/rIWsh9KFTtLOaC2w==" saltValue="L2vxTlr2lDOWCSw0GkSJ5A==" spinCount="100000" sheet="1" objects="1" scenarios="1"/>
  <mergeCells count="12">
    <mergeCell ref="C16:D16"/>
    <mergeCell ref="B2:F3"/>
    <mergeCell ref="C12:D12"/>
    <mergeCell ref="C13:D13"/>
    <mergeCell ref="C14:D14"/>
    <mergeCell ref="C15:D15"/>
    <mergeCell ref="B21:F21"/>
    <mergeCell ref="B22:F22"/>
    <mergeCell ref="B23:F23"/>
    <mergeCell ref="B24:F24"/>
    <mergeCell ref="C17:D17"/>
    <mergeCell ref="C18:D18"/>
  </mergeCells>
  <conditionalFormatting sqref="C7">
    <cfRule type="duplicateValues" dxfId="4" priority="1"/>
    <cfRule type="containsText" dxfId="3" priority="2" operator="containsText" text="NO SE ATIENDE">
      <formula>NOT(ISERROR(SEARCH("NO SE ATIENDE",C7)))</formula>
    </cfRule>
    <cfRule type="containsText" dxfId="2" priority="3" operator="containsText" text="SE MANTIENE">
      <formula>NOT(ISERROR(SEARCH("SE MANTIENE",C7)))</formula>
    </cfRule>
    <cfRule type="containsText" dxfId="1" priority="4" operator="containsText" text="CRECE">
      <formula>NOT(ISERROR(SEARCH("CRECE",C7)))</formula>
    </cfRule>
    <cfRule type="containsText" dxfId="0" priority="5" operator="containsText" text="DECRECE">
      <formula>NOT(ISERROR(SEARCH("DECRECE",C7)))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A47B-97B1-4374-850C-72986C8D53CD}">
  <dimension ref="D1:G6"/>
  <sheetViews>
    <sheetView workbookViewId="0">
      <selection activeCell="G8" sqref="G8"/>
    </sheetView>
  </sheetViews>
  <sheetFormatPr baseColWidth="10" defaultRowHeight="14.4"/>
  <cols>
    <col min="4" max="4" width="12.6640625" bestFit="1" customWidth="1"/>
  </cols>
  <sheetData>
    <row r="1" spans="4:7">
      <c r="G1" s="90"/>
    </row>
    <row r="2" spans="4:7">
      <c r="F2" s="112"/>
      <c r="G2" s="90"/>
    </row>
    <row r="3" spans="4:7">
      <c r="D3" s="72"/>
      <c r="E3" s="90"/>
      <c r="F3" s="83"/>
    </row>
    <row r="4" spans="4:7">
      <c r="E4" s="53"/>
      <c r="F4" s="53"/>
    </row>
    <row r="5" spans="4:7">
      <c r="F5" s="53"/>
    </row>
    <row r="6" spans="4:7">
      <c r="F6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5357-8701-405A-8CA7-1E899DE40134}">
  <dimension ref="A1:K28"/>
  <sheetViews>
    <sheetView workbookViewId="0">
      <selection activeCell="E5" sqref="E5:F5"/>
    </sheetView>
  </sheetViews>
  <sheetFormatPr baseColWidth="10" defaultRowHeight="14.4"/>
  <cols>
    <col min="1" max="1" width="11.5546875" style="74"/>
    <col min="2" max="2" width="24.21875" style="74" customWidth="1"/>
    <col min="3" max="3" width="26" style="74" customWidth="1"/>
    <col min="4" max="4" width="11.5546875" style="74"/>
    <col min="5" max="6" width="11.5546875" style="74" customWidth="1"/>
    <col min="7" max="7" width="7.88671875" style="74" customWidth="1"/>
    <col min="8" max="8" width="21.6640625" style="74" customWidth="1"/>
    <col min="9" max="9" width="13.21875" style="74" customWidth="1"/>
    <col min="10" max="11" width="12.6640625" style="74" customWidth="1"/>
    <col min="12" max="16384" width="11.5546875" style="74"/>
  </cols>
  <sheetData>
    <row r="1" spans="1:11" ht="28.8">
      <c r="C1" s="91">
        <f>+IF(C8&lt;=30%,C8,IF(AND(C8&gt;30%,C14&lt;36%),C14,IF(AND(C8&gt;30%,C14&gt;36%),C19,)))</f>
        <v>0.19091865521773926</v>
      </c>
      <c r="H1" s="80" t="s">
        <v>102</v>
      </c>
      <c r="I1" s="162" t="s">
        <v>100</v>
      </c>
      <c r="J1" s="162"/>
      <c r="K1" s="162"/>
    </row>
    <row r="4" spans="1:11" ht="33.6" customHeight="1" thickBot="1">
      <c r="B4" s="164" t="s">
        <v>109</v>
      </c>
      <c r="C4" s="164"/>
    </row>
    <row r="5" spans="1:11" ht="38.4" customHeight="1" thickBot="1">
      <c r="A5" s="163" t="s">
        <v>105</v>
      </c>
      <c r="B5" s="92" t="s">
        <v>108</v>
      </c>
      <c r="C5" s="93">
        <f>+I13</f>
        <v>4772.9663804434813</v>
      </c>
      <c r="E5" s="160" t="s">
        <v>101</v>
      </c>
      <c r="F5" s="161"/>
      <c r="G5" s="75"/>
      <c r="H5" s="75">
        <f>+SUM('COTIZADOR CON CONVENIO'!D19+'COTIZADOR CON CONVENIO'!D22+'COTIZADOR CON CONVENIO'!D29+'COTIZADOR CON CONVENIO'!D25)</f>
        <v>7</v>
      </c>
      <c r="I5" s="75">
        <f>+H5+2</f>
        <v>9</v>
      </c>
      <c r="J5" s="75">
        <f>+H5+1</f>
        <v>8</v>
      </c>
      <c r="K5" s="75">
        <f>+H5+0</f>
        <v>7</v>
      </c>
    </row>
    <row r="6" spans="1:11" ht="15" thickBot="1">
      <c r="A6" s="163"/>
      <c r="B6" s="74" t="s">
        <v>96</v>
      </c>
      <c r="C6" s="94">
        <f>+'COTIZADOR CON CONVENIO'!C15</f>
        <v>0</v>
      </c>
      <c r="E6" s="77" t="s">
        <v>98</v>
      </c>
      <c r="F6" s="78" t="s">
        <v>99</v>
      </c>
      <c r="G6" s="75"/>
      <c r="I6" s="114">
        <f>+VLOOKUP(I5,$E$7:$F$17,2,0)</f>
        <v>0.13</v>
      </c>
      <c r="J6" s="114">
        <f>+VLOOKUP(J5,$E$7:$F$17,2,0)</f>
        <v>0.13500000000000001</v>
      </c>
      <c r="K6" s="114">
        <f>+VLOOKUP(K5,$E$7:$F$17,2,0)</f>
        <v>0.14000000000000001</v>
      </c>
    </row>
    <row r="7" spans="1:11">
      <c r="A7" s="163"/>
      <c r="B7" s="74" t="s">
        <v>97</v>
      </c>
      <c r="C7" s="94">
        <f>+'NIVEL DE ENDEUDAMIENTO'!D5</f>
        <v>25000</v>
      </c>
      <c r="E7" s="95">
        <v>0</v>
      </c>
      <c r="F7" s="104">
        <v>0.18</v>
      </c>
      <c r="G7" s="96"/>
      <c r="I7" s="114">
        <f>+I6/12</f>
        <v>1.0833333333333334E-2</v>
      </c>
      <c r="J7" s="114">
        <f>+J6/12</f>
        <v>1.1250000000000001E-2</v>
      </c>
      <c r="K7" s="114">
        <f>+K6/12</f>
        <v>1.1666666666666667E-2</v>
      </c>
    </row>
    <row r="8" spans="1:11">
      <c r="A8" s="163"/>
      <c r="B8" s="75" t="s">
        <v>0</v>
      </c>
      <c r="C8" s="97">
        <f>+(C6+C5)/C7</f>
        <v>0.19091865521773926</v>
      </c>
      <c r="E8" s="95">
        <v>1</v>
      </c>
      <c r="F8" s="105">
        <v>0.18</v>
      </c>
      <c r="G8" s="96"/>
    </row>
    <row r="9" spans="1:11">
      <c r="E9" s="95">
        <v>2</v>
      </c>
      <c r="F9" s="105">
        <v>0.17</v>
      </c>
      <c r="G9" s="96"/>
      <c r="I9" s="81">
        <f>+'COTIZADOR CON CONVENIO'!C11</f>
        <v>206000</v>
      </c>
      <c r="J9" s="81">
        <f>+I9</f>
        <v>206000</v>
      </c>
      <c r="K9" s="81">
        <f>+I9</f>
        <v>206000</v>
      </c>
    </row>
    <row r="10" spans="1:11">
      <c r="E10" s="95">
        <v>3</v>
      </c>
      <c r="F10" s="105">
        <v>0.17</v>
      </c>
      <c r="G10" s="96"/>
      <c r="I10" s="76">
        <f>+'COTIZADOR CON CONVENIO'!C13</f>
        <v>60</v>
      </c>
      <c r="J10" s="76">
        <f>+'COTIZADOR CON CONVENIO'!C13</f>
        <v>60</v>
      </c>
      <c r="K10" s="76">
        <f>+'COTIZADOR CON CONVENIO'!C13</f>
        <v>60</v>
      </c>
    </row>
    <row r="11" spans="1:11" ht="28.8">
      <c r="A11" s="163" t="s">
        <v>103</v>
      </c>
      <c r="B11" s="92" t="s">
        <v>108</v>
      </c>
      <c r="C11" s="93">
        <f>+J13</f>
        <v>4825.8616128120611</v>
      </c>
      <c r="E11" s="95">
        <v>4</v>
      </c>
      <c r="F11" s="105">
        <v>0.16</v>
      </c>
      <c r="G11" s="96"/>
      <c r="I11" s="82">
        <f>+I7</f>
        <v>1.0833333333333334E-2</v>
      </c>
      <c r="J11" s="82">
        <f>+J7</f>
        <v>1.1250000000000001E-2</v>
      </c>
      <c r="K11" s="82">
        <f>+K7</f>
        <v>1.1666666666666667E-2</v>
      </c>
    </row>
    <row r="12" spans="1:11">
      <c r="A12" s="163"/>
      <c r="B12" s="74" t="s">
        <v>96</v>
      </c>
      <c r="C12" s="94">
        <f>+C6</f>
        <v>0</v>
      </c>
      <c r="E12" s="95">
        <v>5</v>
      </c>
      <c r="F12" s="105">
        <v>0.15</v>
      </c>
      <c r="G12" s="96"/>
      <c r="I12" s="74">
        <f>+(I9*0.005)/12</f>
        <v>85.833333333333329</v>
      </c>
      <c r="J12" s="74">
        <f>+(J9*0.005)/12</f>
        <v>85.833333333333329</v>
      </c>
      <c r="K12" s="74">
        <f>+(K9*0.005)/12</f>
        <v>85.833333333333329</v>
      </c>
    </row>
    <row r="13" spans="1:11">
      <c r="A13" s="163"/>
      <c r="B13" s="74" t="s">
        <v>97</v>
      </c>
      <c r="C13" s="94">
        <f>+C7</f>
        <v>25000</v>
      </c>
      <c r="E13" s="95">
        <v>6</v>
      </c>
      <c r="F13" s="105">
        <v>0.14499999999999999</v>
      </c>
      <c r="G13" s="96"/>
      <c r="I13" s="99">
        <f>+I12+I14</f>
        <v>4772.9663804434813</v>
      </c>
      <c r="J13" s="99">
        <f>+J12+J14</f>
        <v>4825.8616128120611</v>
      </c>
      <c r="K13" s="99">
        <f>+K12+K14</f>
        <v>4879.0930083071989</v>
      </c>
    </row>
    <row r="14" spans="1:11">
      <c r="A14" s="163"/>
      <c r="B14" s="75" t="s">
        <v>0</v>
      </c>
      <c r="C14" s="97">
        <f>+(C12+C11)/C13</f>
        <v>0.19303446451248243</v>
      </c>
      <c r="E14" s="95">
        <v>7</v>
      </c>
      <c r="F14" s="105">
        <v>0.14000000000000001</v>
      </c>
      <c r="G14" s="96"/>
      <c r="I14" s="79">
        <f>+PMT(I11,I10,-I9)</f>
        <v>4687.1330471101483</v>
      </c>
      <c r="J14" s="79">
        <f>+PMT(J11,J10,-J9)</f>
        <v>4740.0282794787281</v>
      </c>
      <c r="K14" s="79">
        <f>+PMT(K11,K10,-K9)</f>
        <v>4793.2596749738659</v>
      </c>
    </row>
    <row r="15" spans="1:11">
      <c r="E15" s="95">
        <v>8</v>
      </c>
      <c r="F15" s="105">
        <v>0.13500000000000001</v>
      </c>
      <c r="G15" s="96"/>
    </row>
    <row r="16" spans="1:11" ht="28.8">
      <c r="A16" s="163" t="s">
        <v>104</v>
      </c>
      <c r="B16" s="92" t="s">
        <v>108</v>
      </c>
      <c r="C16" s="93">
        <f>+K13</f>
        <v>4879.0930083071989</v>
      </c>
      <c r="E16" s="95">
        <v>9</v>
      </c>
      <c r="F16" s="105">
        <v>0.13</v>
      </c>
      <c r="G16" s="96"/>
      <c r="I16" s="99"/>
    </row>
    <row r="17" spans="1:7" ht="15" thickBot="1">
      <c r="A17" s="163"/>
      <c r="B17" s="74" t="s">
        <v>96</v>
      </c>
      <c r="C17" s="94">
        <f>+C6</f>
        <v>0</v>
      </c>
      <c r="E17" s="98">
        <v>10</v>
      </c>
      <c r="F17" s="106">
        <v>0.13</v>
      </c>
      <c r="G17" s="96"/>
    </row>
    <row r="18" spans="1:7">
      <c r="A18" s="163"/>
      <c r="B18" s="74" t="s">
        <v>97</v>
      </c>
      <c r="C18" s="94">
        <f>+C7</f>
        <v>25000</v>
      </c>
    </row>
    <row r="19" spans="1:7">
      <c r="A19" s="163"/>
      <c r="B19" s="75" t="s">
        <v>0</v>
      </c>
      <c r="C19" s="97">
        <f>+(C17+C16)/C18</f>
        <v>0.19516372033228796</v>
      </c>
      <c r="E19" s="99" t="s">
        <v>105</v>
      </c>
      <c r="F19" s="100">
        <f>+C8</f>
        <v>0.19091865521773926</v>
      </c>
    </row>
    <row r="20" spans="1:7">
      <c r="C20" s="99"/>
      <c r="E20" s="74" t="s">
        <v>103</v>
      </c>
      <c r="F20" s="100">
        <f>+C14</f>
        <v>0.19303446451248243</v>
      </c>
    </row>
    <row r="21" spans="1:7">
      <c r="E21" s="74" t="s">
        <v>104</v>
      </c>
      <c r="F21" s="100">
        <f>+C19</f>
        <v>0.19516372033228796</v>
      </c>
    </row>
    <row r="23" spans="1:7" ht="26.4" hidden="1" customHeight="1"/>
    <row r="24" spans="1:7" ht="26.4" hidden="1" customHeight="1"/>
    <row r="25" spans="1:7" ht="30" hidden="1" customHeight="1"/>
    <row r="26" spans="1:7" hidden="1"/>
    <row r="27" spans="1:7" hidden="1"/>
    <row r="28" spans="1:7" hidden="1"/>
  </sheetData>
  <mergeCells count="6">
    <mergeCell ref="E5:F5"/>
    <mergeCell ref="I1:K1"/>
    <mergeCell ref="A5:A8"/>
    <mergeCell ref="A11:A14"/>
    <mergeCell ref="A16:A19"/>
    <mergeCell ref="B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BDBC-3DD0-4490-A9C3-82B7EF85F5AE}">
  <dimension ref="C4:J26"/>
  <sheetViews>
    <sheetView showGridLines="0" workbookViewId="0">
      <selection activeCell="F36" sqref="F36"/>
    </sheetView>
  </sheetViews>
  <sheetFormatPr baseColWidth="10" defaultColWidth="10.77734375" defaultRowHeight="13.8"/>
  <cols>
    <col min="1" max="2" width="10.77734375" style="1"/>
    <col min="3" max="3" width="14.77734375" style="1" bestFit="1" customWidth="1"/>
    <col min="4" max="4" width="30.77734375" style="1" bestFit="1" customWidth="1"/>
    <col min="5" max="5" width="10.44140625" style="1" bestFit="1" customWidth="1"/>
    <col min="6" max="6" width="14" style="1" bestFit="1" customWidth="1"/>
    <col min="7" max="7" width="14.21875" style="1" bestFit="1" customWidth="1"/>
    <col min="8" max="8" width="10.77734375" style="1"/>
    <col min="9" max="9" width="14" style="1" bestFit="1" customWidth="1"/>
    <col min="10" max="10" width="5.33203125" style="1" customWidth="1"/>
    <col min="11" max="16384" width="10.77734375" style="1"/>
  </cols>
  <sheetData>
    <row r="4" spans="3:10" ht="14.4" thickBot="1"/>
    <row r="5" spans="3:10" ht="28.2" thickBot="1">
      <c r="C5" s="5"/>
      <c r="D5" s="6" t="s">
        <v>17</v>
      </c>
      <c r="E5" s="6" t="s">
        <v>18</v>
      </c>
      <c r="F5" s="6" t="s">
        <v>19</v>
      </c>
      <c r="G5" s="6" t="s">
        <v>20</v>
      </c>
    </row>
    <row r="6" spans="3:10">
      <c r="C6" s="5"/>
      <c r="D6" s="7" t="s">
        <v>21</v>
      </c>
      <c r="E6" s="8">
        <v>0</v>
      </c>
      <c r="F6" s="9">
        <v>7.4479166666666666E-2</v>
      </c>
      <c r="G6" s="10">
        <v>0.08</v>
      </c>
    </row>
    <row r="7" spans="3:10">
      <c r="C7" s="5"/>
      <c r="D7" s="11" t="s">
        <v>22</v>
      </c>
      <c r="E7" s="8">
        <v>1.6750000000000001E-3</v>
      </c>
      <c r="F7" s="9">
        <v>7.6154166666666662E-2</v>
      </c>
      <c r="G7" s="12">
        <v>8.2500000000000004E-2</v>
      </c>
    </row>
    <row r="8" spans="3:10">
      <c r="C8" s="5"/>
      <c r="D8" s="11" t="s">
        <v>23</v>
      </c>
      <c r="E8" s="13">
        <v>3.3500000000000001E-3</v>
      </c>
      <c r="F8" s="14">
        <v>7.7829166666666671E-2</v>
      </c>
      <c r="G8" s="12">
        <v>8.7499999999999994E-2</v>
      </c>
    </row>
    <row r="9" spans="3:10">
      <c r="C9" s="5"/>
      <c r="D9" s="11" t="s">
        <v>24</v>
      </c>
      <c r="E9" s="13">
        <v>5.025E-3</v>
      </c>
      <c r="F9" s="14">
        <v>7.9504166666666667E-2</v>
      </c>
      <c r="G9" s="12">
        <v>9.2499999999999999E-2</v>
      </c>
    </row>
    <row r="10" spans="3:10">
      <c r="C10" s="5"/>
      <c r="D10" s="15" t="s">
        <v>25</v>
      </c>
      <c r="E10" s="16">
        <v>6.7000000000000002E-3</v>
      </c>
      <c r="F10" s="16">
        <v>8.1179166666666663E-2</v>
      </c>
      <c r="G10" s="16">
        <v>9.7500000000000003E-2</v>
      </c>
    </row>
    <row r="11" spans="3:10">
      <c r="C11" s="5"/>
      <c r="D11" s="11" t="s">
        <v>26</v>
      </c>
      <c r="E11" s="13">
        <v>1.005E-2</v>
      </c>
      <c r="F11" s="14">
        <v>8.4529166666666669E-2</v>
      </c>
      <c r="G11" s="12">
        <v>0.10249999999999999</v>
      </c>
    </row>
    <row r="12" spans="3:10">
      <c r="C12" s="5"/>
      <c r="D12" s="11" t="s">
        <v>27</v>
      </c>
      <c r="E12" s="13">
        <v>1.34E-2</v>
      </c>
      <c r="F12" s="14">
        <v>8.7879166666666661E-2</v>
      </c>
      <c r="G12" s="12">
        <v>0.1075</v>
      </c>
    </row>
    <row r="13" spans="3:10">
      <c r="C13" s="5"/>
      <c r="D13" s="11" t="s">
        <v>28</v>
      </c>
      <c r="E13" s="13">
        <v>1.6750000000000001E-2</v>
      </c>
      <c r="F13" s="14">
        <v>9.1229166666666667E-2</v>
      </c>
      <c r="G13" s="12">
        <v>0.1125</v>
      </c>
    </row>
    <row r="14" spans="3:10" ht="14.4" thickBot="1">
      <c r="C14" s="5"/>
      <c r="D14" s="18"/>
      <c r="E14" s="18"/>
      <c r="F14" s="18"/>
      <c r="G14" s="18"/>
    </row>
    <row r="15" spans="3:10" ht="28.2" thickBot="1">
      <c r="C15" s="121" t="s">
        <v>48</v>
      </c>
      <c r="D15" s="165" t="s">
        <v>49</v>
      </c>
      <c r="E15" s="2" t="s">
        <v>59</v>
      </c>
      <c r="F15" s="2" t="s">
        <v>50</v>
      </c>
      <c r="G15" s="2" t="s">
        <v>51</v>
      </c>
      <c r="I15" s="1" t="s">
        <v>49</v>
      </c>
    </row>
    <row r="16" spans="3:10" ht="28.2" thickBot="1">
      <c r="C16" s="122"/>
      <c r="D16" s="166"/>
      <c r="E16" s="4" t="s">
        <v>3</v>
      </c>
      <c r="F16" s="4" t="s">
        <v>4</v>
      </c>
      <c r="G16" s="4" t="s">
        <v>5</v>
      </c>
      <c r="I16" s="2" t="s">
        <v>59</v>
      </c>
      <c r="J16" s="4" t="s">
        <v>3</v>
      </c>
    </row>
    <row r="17" spans="3:10" ht="28.2" thickBot="1">
      <c r="C17" s="122"/>
      <c r="D17" s="165" t="s">
        <v>0</v>
      </c>
      <c r="E17" s="2" t="s">
        <v>8</v>
      </c>
      <c r="F17" s="2" t="s">
        <v>9</v>
      </c>
      <c r="G17" s="3" t="s">
        <v>10</v>
      </c>
      <c r="I17" s="2" t="s">
        <v>50</v>
      </c>
      <c r="J17" s="4" t="s">
        <v>4</v>
      </c>
    </row>
    <row r="18" spans="3:10" ht="14.4" thickBot="1">
      <c r="C18" s="122"/>
      <c r="D18" s="166"/>
      <c r="E18" s="4" t="s">
        <v>3</v>
      </c>
      <c r="F18" s="4" t="s">
        <v>4</v>
      </c>
      <c r="G18" s="4" t="s">
        <v>5</v>
      </c>
      <c r="I18" s="2" t="s">
        <v>51</v>
      </c>
      <c r="J18" s="4" t="s">
        <v>5</v>
      </c>
    </row>
    <row r="19" spans="3:10" ht="41.4">
      <c r="C19" s="122"/>
      <c r="D19" s="167" t="s">
        <v>52</v>
      </c>
      <c r="E19" s="19" t="s">
        <v>14</v>
      </c>
      <c r="F19" s="2" t="s">
        <v>39</v>
      </c>
      <c r="G19" s="2" t="s">
        <v>40</v>
      </c>
    </row>
    <row r="20" spans="3:10" ht="14.4" thickBot="1">
      <c r="C20" s="122"/>
      <c r="D20" s="168"/>
      <c r="E20" s="4" t="s">
        <v>3</v>
      </c>
      <c r="F20" s="4" t="s">
        <v>4</v>
      </c>
      <c r="G20" s="20" t="s">
        <v>5</v>
      </c>
    </row>
    <row r="21" spans="3:10" ht="28.2" thickBot="1">
      <c r="C21" s="122"/>
      <c r="D21" s="165" t="s">
        <v>1</v>
      </c>
      <c r="E21" s="2" t="s">
        <v>11</v>
      </c>
      <c r="F21" s="19" t="s">
        <v>12</v>
      </c>
      <c r="G21" s="2" t="s">
        <v>13</v>
      </c>
      <c r="I21" s="2" t="s">
        <v>11</v>
      </c>
      <c r="J21" s="4" t="s">
        <v>3</v>
      </c>
    </row>
    <row r="22" spans="3:10" ht="14.4" thickBot="1">
      <c r="C22" s="122"/>
      <c r="D22" s="166"/>
      <c r="E22" s="4" t="s">
        <v>3</v>
      </c>
      <c r="F22" s="4" t="s">
        <v>4</v>
      </c>
      <c r="G22" s="4" t="s">
        <v>5</v>
      </c>
      <c r="I22" s="19" t="s">
        <v>12</v>
      </c>
      <c r="J22" s="4" t="s">
        <v>4</v>
      </c>
    </row>
    <row r="23" spans="3:10" ht="28.2" thickBot="1">
      <c r="C23" s="122"/>
      <c r="D23" s="165" t="s">
        <v>53</v>
      </c>
      <c r="E23" s="2" t="s">
        <v>54</v>
      </c>
      <c r="F23" s="18"/>
      <c r="G23" s="19" t="s">
        <v>55</v>
      </c>
      <c r="I23" s="2" t="s">
        <v>13</v>
      </c>
      <c r="J23" s="4" t="s">
        <v>5</v>
      </c>
    </row>
    <row r="24" spans="3:10" ht="14.4" thickBot="1">
      <c r="C24" s="122"/>
      <c r="D24" s="166"/>
      <c r="E24" s="4" t="s">
        <v>3</v>
      </c>
      <c r="F24" s="22"/>
      <c r="G24" s="4" t="s">
        <v>5</v>
      </c>
    </row>
    <row r="25" spans="3:10" ht="28.2" thickBot="1">
      <c r="I25" s="2" t="s">
        <v>54</v>
      </c>
      <c r="J25" s="4" t="s">
        <v>3</v>
      </c>
    </row>
    <row r="26" spans="3:10" ht="14.4" thickBot="1">
      <c r="I26" s="19" t="s">
        <v>55</v>
      </c>
      <c r="J26" s="4" t="s">
        <v>5</v>
      </c>
    </row>
  </sheetData>
  <mergeCells count="6">
    <mergeCell ref="C15:C24"/>
    <mergeCell ref="D15:D16"/>
    <mergeCell ref="D17:D18"/>
    <mergeCell ref="D19:D20"/>
    <mergeCell ref="D21:D22"/>
    <mergeCell ref="D23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COTIZADOR PLANILLERO</vt:lpstr>
      <vt:lpstr>COTIZADOR CON CONVENIO</vt:lpstr>
      <vt:lpstr>NIVEL DE ENDEUDAMIENTO</vt:lpstr>
      <vt:lpstr>Hoja1</vt:lpstr>
      <vt:lpstr>RCI</vt:lpstr>
      <vt:lpstr>COTIZADOR VEHÍCULOS</vt:lpstr>
      <vt:lpstr>OTRO_RENGLON</vt:lpstr>
      <vt:lpstr>RENGLON_011_INICIATIVA_PRIVADA</vt:lpstr>
      <vt:lpstr>RENGLON_021_022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Eduardo Boche Arenas</dc:creator>
  <cp:lastModifiedBy>Gerardo Ardon Vanegas</cp:lastModifiedBy>
  <dcterms:created xsi:type="dcterms:W3CDTF">2024-05-15T17:52:09Z</dcterms:created>
  <dcterms:modified xsi:type="dcterms:W3CDTF">2024-12-12T20:43:07Z</dcterms:modified>
</cp:coreProperties>
</file>